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4/Q2/To publish/"/>
    </mc:Choice>
  </mc:AlternateContent>
  <xr:revisionPtr revIDLastSave="13" documentId="8_{6C7CD630-4BA5-4432-918F-AA99EAF696E2}" xr6:coauthVersionLast="47" xr6:coauthVersionMax="47" xr10:uidLastSave="{9271874B-11B6-435C-BE77-53D7A90B8FA7}"/>
  <bookViews>
    <workbookView xWindow="-110" yWindow="-110" windowWidth="19420" windowHeight="11500" tabRatio="922" activeTab="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 name="Production 22 " sheetId="11" state="hidden" r:id="rId7"/>
    <sheet name="EBITDA data" sheetId="12" state="hidden" r:id="rId8"/>
    <sheet name="Projet data" sheetId="13" state="hidden" r:id="rId9"/>
    <sheet name="Tariff" sheetId="14" state="hidden" r:id="rId10"/>
  </sheets>
  <definedNames>
    <definedName name="dmem">#REF!</definedName>
    <definedName name="FX_AVG_Euro">'Mature Portfolio Financials'!$D$120</definedName>
    <definedName name="FX_AVG_Nis">'Mature Portfolio Financials'!$E$120</definedName>
    <definedName name="FX_end_Euro">'Mature Portfolio Financials'!$D$116</definedName>
    <definedName name="FX_end_NIS">'Mature Portfolio Financials'!$E$116</definedName>
    <definedName name="FX_Euro" localSheetId="0">#REF!</definedName>
    <definedName name="FX_Euro">'Mature Portfolio Financials'!$D$116</definedName>
    <definedName name="FX_Nis" localSheetId="0">#REF!</definedName>
    <definedName name="FX_Nis">#REF!</definedName>
    <definedName name="FX_NIS_end">'Mature Portfolio Financials'!$E$116</definedName>
    <definedName name="_xlnm.Print_Area" localSheetId="4">'Adv. Dev and Dev. Portfolio'!$A$1:$F$28</definedName>
    <definedName name="_xlnm.Print_Area" localSheetId="2">'Mature Portfolio Financials'!$A$1:$R$128</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1" i="1" l="1"/>
  <c r="P101" i="1" s="1"/>
  <c r="N100" i="1" l="1"/>
  <c r="E27" i="5"/>
  <c r="D27" i="5"/>
  <c r="E25" i="5"/>
  <c r="D25" i="5"/>
  <c r="E11" i="5"/>
  <c r="E13" i="5" s="1"/>
  <c r="D11" i="5"/>
  <c r="D13" i="5" s="1"/>
  <c r="K8" i="1" l="1"/>
  <c r="M8" i="1"/>
  <c r="O8" i="1"/>
  <c r="M9" i="1"/>
  <c r="O9" i="1"/>
  <c r="K10" i="1"/>
  <c r="M10" i="1"/>
  <c r="O10" i="1"/>
  <c r="O11" i="1" s="1"/>
  <c r="K11" i="1"/>
  <c r="L11" i="1"/>
  <c r="N11" i="1"/>
  <c r="P11" i="1"/>
  <c r="M11" i="1" l="1"/>
  <c r="O100" i="1" l="1"/>
  <c r="G41" i="1" l="1"/>
  <c r="F41" i="1"/>
  <c r="D41" i="1"/>
  <c r="N99" i="1" s="1"/>
  <c r="Q101" i="1" l="1"/>
  <c r="N104" i="1"/>
  <c r="O104" i="1" s="1"/>
  <c r="P104" i="1" s="1"/>
  <c r="C89" i="1" l="1"/>
  <c r="E11" i="1" l="1"/>
  <c r="F11" i="1" l="1"/>
  <c r="J11" i="1"/>
  <c r="J13" i="1" s="1"/>
  <c r="I11" i="1"/>
  <c r="H11" i="1"/>
  <c r="H13" i="1" s="1"/>
  <c r="G11" i="1"/>
  <c r="G13" i="1" s="1"/>
  <c r="I13" i="1" l="1"/>
  <c r="J19" i="1" l="1"/>
  <c r="M13" i="1"/>
  <c r="L13" i="1" l="1"/>
  <c r="N13" i="1"/>
  <c r="P13" i="1" l="1"/>
  <c r="K13" i="1"/>
  <c r="O13" i="1" l="1"/>
  <c r="M18" i="13" l="1"/>
  <c r="L18" i="13"/>
  <c r="K18" i="13"/>
  <c r="M17" i="13"/>
  <c r="L17" i="13"/>
  <c r="K17" i="13"/>
  <c r="N16" i="13"/>
  <c r="M16" i="13"/>
  <c r="K16" i="13"/>
  <c r="N15" i="13"/>
  <c r="M15" i="13"/>
  <c r="K15" i="13"/>
  <c r="N14" i="13"/>
  <c r="M14" i="13"/>
  <c r="K14" i="13"/>
  <c r="N13" i="13"/>
  <c r="M13" i="13"/>
  <c r="K13" i="13"/>
  <c r="M12" i="13"/>
  <c r="L12" i="13"/>
  <c r="K12" i="13"/>
  <c r="N11" i="13"/>
  <c r="M11" i="13"/>
  <c r="K11" i="13"/>
  <c r="N10" i="13"/>
  <c r="M10" i="13"/>
  <c r="K10" i="13"/>
  <c r="N9" i="13"/>
  <c r="M9" i="13"/>
  <c r="K9" i="13"/>
  <c r="N8" i="13"/>
  <c r="M8" i="13"/>
  <c r="K8" i="13"/>
  <c r="M7" i="13"/>
  <c r="L7" i="13"/>
  <c r="K7" i="13"/>
  <c r="N6" i="13"/>
  <c r="M6" i="13"/>
  <c r="K6" i="13"/>
  <c r="N5" i="13"/>
  <c r="M5" i="13"/>
  <c r="K5" i="13"/>
  <c r="N4" i="13"/>
  <c r="M4" i="13"/>
  <c r="K4" i="13"/>
  <c r="N3" i="13"/>
  <c r="M3" i="13"/>
  <c r="K3" i="13"/>
  <c r="I2" i="13"/>
  <c r="M2" i="13" s="1"/>
  <c r="J2" i="13"/>
  <c r="N2" i="13" s="1"/>
  <c r="H2" i="13"/>
  <c r="L2" i="13" s="1"/>
  <c r="G2" i="13"/>
  <c r="K2" i="13" s="1"/>
  <c r="B37" i="12"/>
  <c r="B41" i="12" s="1"/>
  <c r="B36" i="12"/>
  <c r="B40" i="12" s="1"/>
  <c r="B33" i="12"/>
  <c r="B32" i="12"/>
  <c r="B31" i="12"/>
  <c r="B35" i="12" s="1"/>
  <c r="B39" i="12" s="1"/>
  <c r="D29" i="12"/>
  <c r="C29" i="12"/>
  <c r="D40" i="12"/>
  <c r="C40" i="12"/>
  <c r="D36" i="12"/>
  <c r="C36" i="12"/>
  <c r="D32" i="12"/>
  <c r="C32" i="12"/>
  <c r="H5" i="12"/>
  <c r="E5" i="12"/>
  <c r="D26" i="12" s="1"/>
  <c r="D41" i="12" s="1"/>
  <c r="B18" i="12"/>
  <c r="B22" i="12" s="1"/>
  <c r="B26" i="12" s="1"/>
  <c r="B38" i="12" s="1"/>
  <c r="H4" i="12"/>
  <c r="E4" i="12"/>
  <c r="D25" i="12" s="1"/>
  <c r="D37" i="12" s="1"/>
  <c r="B9" i="12"/>
  <c r="H3" i="12"/>
  <c r="E3" i="12"/>
  <c r="D24" i="12" s="1"/>
  <c r="D33" i="12" s="1"/>
  <c r="B8" i="12"/>
  <c r="I8" i="11"/>
  <c r="I5" i="11"/>
  <c r="J5" i="11" s="1"/>
  <c r="I4" i="11"/>
  <c r="J4" i="11" s="1"/>
  <c r="I3" i="11"/>
  <c r="J3" i="11" s="1"/>
  <c r="F3" i="14" l="1"/>
  <c r="G10" i="12"/>
  <c r="F5" i="14"/>
  <c r="D8" i="12"/>
  <c r="F6" i="14"/>
  <c r="F4" i="14"/>
  <c r="C25" i="12"/>
  <c r="C37" i="12" s="1"/>
  <c r="F14" i="14"/>
  <c r="B17" i="12"/>
  <c r="B34" i="12" s="1"/>
  <c r="C26" i="12"/>
  <c r="C41" i="12" s="1"/>
  <c r="F11" i="14"/>
  <c r="F12" i="14"/>
  <c r="D16" i="12"/>
  <c r="D31" i="12" s="1"/>
  <c r="F21" i="14"/>
  <c r="G8" i="12"/>
  <c r="D18" i="12"/>
  <c r="D39" i="12" s="1"/>
  <c r="F16" i="14"/>
  <c r="F18" i="14"/>
  <c r="C17" i="12"/>
  <c r="C35" i="12" s="1"/>
  <c r="D17" i="12"/>
  <c r="D35" i="12" s="1"/>
  <c r="C16" i="12"/>
  <c r="C31" i="12" s="1"/>
  <c r="F13" i="14"/>
  <c r="F15" i="14"/>
  <c r="G9" i="12"/>
  <c r="C24" i="12"/>
  <c r="C33" i="12" s="1"/>
  <c r="C18" i="12"/>
  <c r="C39" i="12" s="1"/>
  <c r="I6" i="11"/>
  <c r="J6" i="11" s="1"/>
  <c r="D9" i="12"/>
  <c r="B16" i="12"/>
  <c r="B10" i="12"/>
  <c r="D10" i="12"/>
  <c r="B21" i="12" l="1"/>
  <c r="B25" i="12" s="1"/>
  <c r="B20" i="12"/>
  <c r="B24" i="12" s="1"/>
  <c r="B30" i="12"/>
  <c r="O99" i="1" l="1"/>
  <c r="N102" i="1" l="1"/>
  <c r="O102" i="1" l="1"/>
  <c r="P99" i="1" l="1"/>
  <c r="Q99" i="1" l="1"/>
  <c r="E53" i="1" l="1"/>
  <c r="E55" i="1" s="1"/>
  <c r="Q104" i="1" s="1"/>
  <c r="D53" i="1"/>
  <c r="D55" i="1" s="1"/>
  <c r="P100" i="1" s="1"/>
  <c r="Q100" i="1" l="1"/>
  <c r="Q102" i="1" s="1"/>
  <c r="P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<sst xmlns="http://schemas.openxmlformats.org/spreadsheetml/2006/main" count="869" uniqueCount="377">
  <si>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</si>
  <si>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</si>
  <si>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</si>
  <si>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</si>
  <si>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</si>
  <si>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</si>
  <si>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</si>
  <si>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</si>
  <si>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</si>
  <si>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</si>
  <si>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</si>
  <si>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</si>
  <si>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</si>
  <si>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</si>
  <si>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</si>
  <si>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</si>
  <si>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</si>
  <si>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</si>
  <si>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</si>
  <si>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Annualized Consolidated Adjusted EBITDA</t>
  </si>
  <si>
    <t>Asset Level Return on Project Costs</t>
  </si>
  <si>
    <t>Detailed Operational Projects</t>
  </si>
  <si>
    <t>Segment</t>
  </si>
  <si>
    <t>Operational Project</t>
  </si>
  <si>
    <t>Ownership %</t>
  </si>
  <si>
    <t>Israel</t>
  </si>
  <si>
    <t xml:space="preserve">Haluziot </t>
  </si>
  <si>
    <t>Sunlight 1+2</t>
  </si>
  <si>
    <t>Gecama</t>
  </si>
  <si>
    <t>Bjorenberget</t>
  </si>
  <si>
    <t>Picasso</t>
  </si>
  <si>
    <t>Tully</t>
  </si>
  <si>
    <t>Selac</t>
  </si>
  <si>
    <t>CEE</t>
  </si>
  <si>
    <t>Blacksmith</t>
  </si>
  <si>
    <t>Lukovac</t>
  </si>
  <si>
    <t>Attila</t>
  </si>
  <si>
    <t>AC/DC</t>
  </si>
  <si>
    <t>Apex Solar</t>
  </si>
  <si>
    <t>Total USA</t>
  </si>
  <si>
    <t>`</t>
  </si>
  <si>
    <t>Est. First Full Year Revenue</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</si>
  <si>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</si>
  <si>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</si>
  <si>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</si>
  <si>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</si>
  <si>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</si>
  <si>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</si>
  <si>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</si>
  <si>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Net Capex (Relevant for US projects)****</t>
  </si>
  <si>
    <t>Est. Equity Required (%)</t>
  </si>
  <si>
    <t>Est. Tax Equity (% of project cost)</t>
  </si>
  <si>
    <t>Ownership %**</t>
  </si>
  <si>
    <t>Key Commentary</t>
  </si>
  <si>
    <t>United States</t>
  </si>
  <si>
    <t>N/A</t>
  </si>
  <si>
    <t>Tapolca</t>
  </si>
  <si>
    <t>Hungary</t>
  </si>
  <si>
    <t>Pupin</t>
  </si>
  <si>
    <t>Serbia</t>
  </si>
  <si>
    <t>H2 2025</t>
  </si>
  <si>
    <t>21-22</t>
  </si>
  <si>
    <t>All numbers, beside equity invested, reflects Enlight share only</t>
  </si>
  <si>
    <t xml:space="preserve">Pre-Construction Projects (due to commence construction within 12 months) </t>
  </si>
  <si>
    <r>
      <rPr>
        <sz val="13"/>
        <color theme="0"/>
        <rFont val="Heebo"/>
        <charset val="177"/>
      </rPr>
      <t>($ millions)</t>
    </r>
    <r>
      <rPr>
        <b/>
        <sz val="13"/>
        <color theme="0"/>
        <rFont val="Heebo"/>
        <charset val="177"/>
      </rPr>
      <t xml:space="preserve">
Major Projects</t>
    </r>
  </si>
  <si>
    <t>CoBar Complex</t>
  </si>
  <si>
    <t>Rustic Hills 1&amp; 2</t>
  </si>
  <si>
    <t>22-23</t>
  </si>
  <si>
    <t>Roadrunner</t>
  </si>
  <si>
    <t>Country Acres</t>
  </si>
  <si>
    <t>H2 2026</t>
  </si>
  <si>
    <t>Quail Ranch</t>
  </si>
  <si>
    <t>18-19</t>
  </si>
  <si>
    <t>Gecama Solar</t>
  </si>
  <si>
    <t>Spain</t>
  </si>
  <si>
    <t>MW Deployment</t>
  </si>
  <si>
    <t>Europe</t>
  </si>
  <si>
    <t>14-15</t>
  </si>
  <si>
    <t xml:space="preserve">Total Pre-Construction </t>
  </si>
  <si>
    <t>MW</t>
  </si>
  <si>
    <t>MWh</t>
  </si>
  <si>
    <t>Revenues from management and development fees</t>
  </si>
  <si>
    <t>Management and development fee paid to Enlight</t>
  </si>
  <si>
    <t>Fees eliminated upon consolidation</t>
  </si>
  <si>
    <t>Management and development fee as per financial statement</t>
  </si>
  <si>
    <t>Est. operational capacity (MW)</t>
  </si>
  <si>
    <t xml:space="preserve"> </t>
  </si>
  <si>
    <t>2024E</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</si>
  <si>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</si>
  <si>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</si>
  <si>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</si>
  <si>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</si>
  <si>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</si>
  <si>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</si>
  <si>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</si>
  <si>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</si>
  <si>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</si>
  <si>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</si>
  <si>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</si>
  <si>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</si>
  <si>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</si>
  <si>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</si>
  <si>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</si>
  <si>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</si>
  <si>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</si>
  <si>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</si>
  <si>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</si>
  <si>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</si>
  <si>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</si>
  <si>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</si>
  <si>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</si>
  <si>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</si>
  <si>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</si>
  <si>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</si>
  <si>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</si>
  <si>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</si>
  <si>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</si>
  <si>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10-12</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</si>
  <si>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</si>
  <si>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</si>
  <si>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</si>
  <si>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</si>
  <si>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</si>
  <si>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</si>
  <si>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</si>
  <si>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</si>
  <si>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</si>
  <si>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</si>
  <si>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</si>
  <si>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</si>
  <si>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</si>
  <si>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</si>
  <si>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</si>
  <si>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</si>
  <si>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</si>
  <si>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</si>
  <si>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</si>
  <si>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</si>
  <si>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</si>
  <si>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19-23</t>
  </si>
  <si>
    <t>Under Construction</t>
  </si>
  <si>
    <t>New Mexico</t>
  </si>
  <si>
    <t xml:space="preserve"> PNM Resources</t>
  </si>
  <si>
    <t>PV+ storage cluster</t>
  </si>
  <si>
    <t>PPA to be signed</t>
  </si>
  <si>
    <t>PPA for 72% of production</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</si>
  <si>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</si>
  <si>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</si>
  <si>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</si>
  <si>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</si>
  <si>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</si>
  <si>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</si>
  <si>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</si>
  <si>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</si>
  <si>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</si>
  <si>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</si>
  <si>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</si>
  <si>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</si>
  <si>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</si>
  <si>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</si>
  <si>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</si>
  <si>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</si>
  <si>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</si>
  <si>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</si>
  <si>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</si>
  <si>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</si>
  <si>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Nardo Storage 1</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</si>
  <si>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</si>
  <si>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</si>
  <si>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</si>
  <si>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</si>
  <si>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</si>
  <si>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</si>
  <si>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</si>
  <si>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</si>
  <si>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</si>
  <si>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Q3 2024</t>
  </si>
  <si>
    <t>Atrisco Storage</t>
  </si>
  <si>
    <t>Q4 2024</t>
  </si>
  <si>
    <t>Q1</t>
  </si>
  <si>
    <t>Q2</t>
  </si>
  <si>
    <t>Haluziot</t>
  </si>
  <si>
    <t>1-9/22</t>
  </si>
  <si>
    <t>SepHaluziot</t>
  </si>
  <si>
    <t>SepMivtahim</t>
  </si>
  <si>
    <t>SepTalmei Bilu</t>
  </si>
  <si>
    <t>Western europe</t>
  </si>
  <si>
    <t>SepRevivim</t>
  </si>
  <si>
    <t>SepDorot</t>
  </si>
  <si>
    <t>SepTalmei Yafe</t>
  </si>
  <si>
    <t>SepCramim</t>
  </si>
  <si>
    <t>SepKramim New</t>
  </si>
  <si>
    <t>SepKidmat Zvi</t>
  </si>
  <si>
    <t>SepIdan</t>
  </si>
  <si>
    <t>SepBeit Rimon</t>
  </si>
  <si>
    <t>SepPerot Golan</t>
  </si>
  <si>
    <t>SepSde Nehemia</t>
  </si>
  <si>
    <t>SepBarbur</t>
  </si>
  <si>
    <t>SepBeit Hashita</t>
  </si>
  <si>
    <t>SepBeit Shikma</t>
  </si>
  <si>
    <t>SepKadarim</t>
  </si>
  <si>
    <t>SepZayit yarok</t>
  </si>
  <si>
    <t>SepNadasd</t>
  </si>
  <si>
    <t>SepTuzser</t>
  </si>
  <si>
    <t>SepKapuvar</t>
  </si>
  <si>
    <t>SepOrvim</t>
  </si>
  <si>
    <t>SepBnei Israel</t>
  </si>
  <si>
    <t>2022SepTullynamoyle</t>
  </si>
  <si>
    <t>2022SepLukovac</t>
  </si>
  <si>
    <t>2022SepBlacksmith</t>
  </si>
  <si>
    <t>2022SepPicasso</t>
  </si>
  <si>
    <t>2022SepSelac</t>
  </si>
  <si>
    <t>2022SepEmek Habacha</t>
  </si>
  <si>
    <t>2022SepGecama</t>
  </si>
  <si>
    <t>2022SepBjornberget</t>
  </si>
  <si>
    <t>6 months 23</t>
  </si>
  <si>
    <t>Q1 23 - From Q1 table</t>
  </si>
  <si>
    <t>Q2 data</t>
  </si>
  <si>
    <t>6 months 22</t>
  </si>
  <si>
    <t>Q1 22 - From Q1 table</t>
  </si>
  <si>
    <t>Production</t>
  </si>
  <si>
    <t>2023 comparing 2022</t>
  </si>
  <si>
    <t xml:space="preserve">6 months </t>
  </si>
  <si>
    <t xml:space="preserve">Q2 </t>
  </si>
  <si>
    <t>Change production</t>
  </si>
  <si>
    <t>Change revenues</t>
  </si>
  <si>
    <t>Change EBITDA</t>
  </si>
  <si>
    <t>Change</t>
  </si>
  <si>
    <t xml:space="preserve">Debt balance </t>
  </si>
  <si>
    <t>תיקון טעות מרבעון ראשון</t>
  </si>
  <si>
    <t>27-29</t>
  </si>
  <si>
    <t>16-17</t>
  </si>
  <si>
    <t>PTC</t>
  </si>
  <si>
    <t>ITC</t>
  </si>
  <si>
    <t>PTC &amp; ITC ; Comprise of cluster of 3 projects. Additional 3.2GWh storage potential</t>
  </si>
  <si>
    <t>ITC&amp;PTC</t>
  </si>
  <si>
    <t>15-16</t>
  </si>
  <si>
    <t>Est. First Full Year EBITDA</t>
  </si>
  <si>
    <t>Installed Capacity (MW)
March-2024</t>
  </si>
  <si>
    <t>Installed Storage (MWh)
March-2024</t>
  </si>
  <si>
    <t>2027E</t>
  </si>
  <si>
    <t>158-166</t>
  </si>
  <si>
    <t>32-34</t>
  </si>
  <si>
    <t>80-84</t>
  </si>
  <si>
    <t>Solar projects</t>
  </si>
  <si>
    <t>Gradual connection on H2/24</t>
  </si>
  <si>
    <t xml:space="preserve">Less: 2024 EBITDA for projects that were not fully operational  </t>
  </si>
  <si>
    <t>Invested capital for projects that were fully operational as of 01 January 2024</t>
  </si>
  <si>
    <t>H2 2027</t>
  </si>
  <si>
    <t>39-41</t>
  </si>
  <si>
    <t>22-24</t>
  </si>
  <si>
    <t>Solar+Storage Cluster</t>
  </si>
  <si>
    <t>Reported Revenue</t>
  </si>
  <si>
    <t xml:space="preserve"> Segment Adjusted 
EBITDA*</t>
  </si>
  <si>
    <t>Segment Adjusted 
EBITDA*</t>
  </si>
  <si>
    <t>Mainly Local authorities in Israel</t>
  </si>
  <si>
    <t>3 Months ended June 30</t>
  </si>
  <si>
    <t>6 Months ended June 30</t>
  </si>
  <si>
    <t>3 Months ended June 30, 2024</t>
  </si>
  <si>
    <t>6 Months ended June 30, 2024</t>
  </si>
  <si>
    <t>Debt balance as of June  30, 2024</t>
  </si>
  <si>
    <t>Installed Capacity (MW)
June-2024</t>
  </si>
  <si>
    <t>Installed Storage (MWh)
June-2024</t>
  </si>
  <si>
    <t>Capital Invested as of June 30, 2024</t>
  </si>
  <si>
    <t>Equity Invested as of June 30, 2024</t>
  </si>
  <si>
    <t>Debt balance as of June 30, 2024</t>
  </si>
  <si>
    <t>6 Months ended June 30, 2023</t>
  </si>
  <si>
    <t>June 2023</t>
  </si>
  <si>
    <t>June 2024</t>
  </si>
  <si>
    <t>As of 30th June 2023</t>
  </si>
  <si>
    <t>As of 30th June 2024</t>
  </si>
  <si>
    <r>
      <rPr>
        <sz val="13"/>
        <color theme="0"/>
        <rFont val="Heebo"/>
        <charset val="177"/>
      </rPr>
      <t>($ millions)</t>
    </r>
    <r>
      <rPr>
        <b/>
        <sz val="13"/>
        <color theme="0"/>
        <rFont val="Heebo"/>
        <charset val="177"/>
      </rPr>
      <t xml:space="preserve">
Additional Pre-Construction Projects</t>
    </r>
  </si>
  <si>
    <t xml:space="preserve">MW/MWh </t>
  </si>
  <si>
    <t>312/0</t>
  </si>
  <si>
    <t>MW production/MWh storage&gt;</t>
  </si>
  <si>
    <t>38/0</t>
  </si>
  <si>
    <t>0/460</t>
  </si>
  <si>
    <t>MENA</t>
  </si>
  <si>
    <t>Europe Wind</t>
  </si>
  <si>
    <t>Europe PV</t>
  </si>
  <si>
    <t xml:space="preserve">Total Europe </t>
  </si>
  <si>
    <t>USA PV</t>
  </si>
  <si>
    <t>5/28</t>
  </si>
  <si>
    <t>11/370</t>
  </si>
  <si>
    <t>0/124</t>
  </si>
  <si>
    <t>MENA PV</t>
  </si>
  <si>
    <t>MENA Wind</t>
  </si>
  <si>
    <t>Total MENA</t>
  </si>
  <si>
    <t>($ millions)</t>
  </si>
  <si>
    <t>Became operational after financial statements date</t>
  </si>
  <si>
    <t>Installed Capacity (MW)
December-2023</t>
  </si>
  <si>
    <t>Installed Storage (MWh)
December-2023</t>
  </si>
  <si>
    <t>360-378***</t>
  </si>
  <si>
    <t>274-288</t>
  </si>
  <si>
    <t>145-152</t>
  </si>
  <si>
    <t>32-33</t>
  </si>
  <si>
    <t>9-10</t>
  </si>
  <si>
    <t>6-7</t>
  </si>
  <si>
    <t>1,712-1,800</t>
  </si>
  <si>
    <t>934-981</t>
  </si>
  <si>
    <t>124-131</t>
  </si>
  <si>
    <t>97-102</t>
  </si>
  <si>
    <t>370-389</t>
  </si>
  <si>
    <t>185-194</t>
  </si>
  <si>
    <t>24-25</t>
  </si>
  <si>
    <t>20-21</t>
  </si>
  <si>
    <t>592-622</t>
  </si>
  <si>
    <t>354-373</t>
  </si>
  <si>
    <t>48-51</t>
  </si>
  <si>
    <t>248-260</t>
  </si>
  <si>
    <t>134-141</t>
  </si>
  <si>
    <t>206-217</t>
  </si>
  <si>
    <t>36-38</t>
  </si>
  <si>
    <t>29-30</t>
  </si>
  <si>
    <t>H1 2026</t>
  </si>
  <si>
    <t>415-436</t>
  </si>
  <si>
    <t>92-97</t>
  </si>
  <si>
    <t>184-193</t>
  </si>
  <si>
    <t>Atrisco Solar</t>
  </si>
  <si>
    <r>
      <t>* EBITDA results included $1m in the 6 months ended June 24 and $0m in the 3 month ended June 24,</t>
    </r>
    <r>
      <rPr>
        <sz val="13"/>
        <rFont val="Heebo"/>
        <charset val="177"/>
      </rPr>
      <t xml:space="preserve"> of compensation recognized due to the delay in reaching full production at Emek Habacha</t>
    </r>
  </si>
  <si>
    <t>350/460</t>
  </si>
  <si>
    <t>H2 2024- H1 2025</t>
  </si>
  <si>
    <t>1,031-1,084</t>
  </si>
  <si>
    <t>1,063-1,117</t>
  </si>
  <si>
    <t>657-690</t>
  </si>
  <si>
    <t>689-723</t>
  </si>
  <si>
    <t xml:space="preserve">Operational portfolio grew by 75 MW and 94 MWh </t>
  </si>
  <si>
    <t>Mature Project portfolio grew by 234 MWh</t>
  </si>
  <si>
    <t>691-726</t>
  </si>
  <si>
    <t>67-72</t>
  </si>
  <si>
    <t>51-54</t>
  </si>
  <si>
    <t>11 MW in 2025 attributed to Enlight Local</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</si>
  <si>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</si>
  <si>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</si>
  <si>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38%*</t>
  </si>
  <si>
    <t>* The total Solar+Storage Cluster equity required is 27%, the 38% represents only the equity required for the projects that are under construction</t>
  </si>
  <si>
    <t>19-21</t>
  </si>
  <si>
    <t>14-16</t>
  </si>
  <si>
    <t>81-87</t>
  </si>
  <si>
    <t>62-68</t>
  </si>
  <si>
    <t>85-91</t>
  </si>
  <si>
    <t>65-71</t>
  </si>
  <si>
    <t>764-804</t>
  </si>
  <si>
    <t>459-482</t>
  </si>
  <si>
    <t>58-61</t>
  </si>
  <si>
    <t>46-48</t>
  </si>
  <si>
    <t>4,592-4,827</t>
  </si>
  <si>
    <t>380-402</t>
  </si>
  <si>
    <t>Atrisco PV</t>
  </si>
  <si>
    <t>*** Project costs is net of reimbursable network upgrades of $34m for the PV and storage projects combined, which are to be reimbursed in first five years of project</t>
  </si>
  <si>
    <t>446-470***</t>
  </si>
  <si>
    <t>****Net construction costs assume receipt of certain ITC and PTC credits under the IRA and are net of the estimated value of these credits. For certain projects, PTC is assumed, based on the project’s expected production and a yearly CPI indexation of 2%, discounted by 8% to COD. For other projects ITC is assumed at the relevant ITC rate (ranging from 30% to 50%, depending on energy community and/or domestic content adders). The net cost does not reflect the full tax equity investment, only the estimated value of the tax credits.</t>
  </si>
  <si>
    <t>249-262</t>
  </si>
  <si>
    <t>525-552</t>
  </si>
  <si>
    <t>2,809-2,949</t>
  </si>
  <si>
    <t>301-316</t>
  </si>
  <si>
    <t>All numbers reflect Enlight share only</t>
  </si>
  <si>
    <t>2,868 MW +4,054MWh</t>
  </si>
  <si>
    <t>Total Consolidated H1 Segment Adjusted EBITDA</t>
  </si>
  <si>
    <t>76-128</t>
  </si>
  <si>
    <t>Total Europe</t>
  </si>
  <si>
    <t>Israel*</t>
  </si>
  <si>
    <t>Western Europe**</t>
  </si>
  <si>
    <t>Central and Eastern Europe ("CEE")</t>
  </si>
  <si>
    <t>Reported Revenue*</t>
  </si>
  <si>
    <t xml:space="preserve"> Segment Adjusted 
EBITDA</t>
  </si>
  <si>
    <t>Emek Halacha</t>
  </si>
  <si>
    <t>Israel Solar Projects*</t>
  </si>
  <si>
    <t>Total Israel</t>
  </si>
  <si>
    <t>Total Western Europe</t>
  </si>
  <si>
    <t>Total Central and Eastern Europe ("CEE")</t>
  </si>
  <si>
    <t>** Ownership % is calculated based on the project's share of total revenues</t>
  </si>
  <si>
    <t>Ownership %*****</t>
  </si>
  <si>
    <t>275**</t>
  </si>
  <si>
    <t>***** The legal ownership share for all U.S. projects is 90%, but Enlight invests 100% of the equity in the project and entitled to 100% of the project distributions until full repayment of Enlight's capital plus a preferred return</t>
  </si>
  <si>
    <t>100**</t>
  </si>
  <si>
    <t>** Atrisco BESS financial closure was completed following the balance sheet date. The company expects to recycle $234 million of equity back to its balance sheet in August 2024, of which $45 million will be immediately used to repay revolving credit facilities, resulting in net receipts of $189 million. A reimbursement of $34 million on RNU investments is anticipated for the beginning of 2025, leaving $52 million of Company equity remaining in the project. The company expect to receive $30-35m equity back from Atrisco Solar from a debt rebalance following COD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</si>
</sst>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 numFmtId="169" formatCode="0.000%"/>
    <numFmt numFmtId="170" formatCode="_(#,##0_);_(\(#,##0\);_(&quot;-&quot;_);@_)"/>
    <numFmt numFmtId="171" formatCode="_-* #,##0_-;\-* #,##0_-;_-* &quot;-&quot;??_-;_-@_-"/>
  </numFmts>
  <fonts count="38"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sz val="12"/>
      <color theme="1"/>
      <name val="Heebo"/>
      <charset val="177"/>
    </font>
    <font>
      <sz val="11"/>
      <color theme="0"/>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b/>
      <sz val="13"/>
      <color rgb="FF00B050"/>
      <name val="Heebo"/>
      <charset val="177"/>
    </font>
    <font>
      <sz val="11"/>
      <color rgb="FF000000"/>
      <name val="Heebo"/>
      <charset val="177"/>
    </font>
  </fonts>
  <fills count="14">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236194"/>
        <bgColor indexed="64"/>
      </patternFill>
    </fill>
    <fill>
      <patternFill patternType="solid">
        <fgColor theme="6" tint="0.59999389629810485"/>
        <bgColor indexed="64"/>
      </patternFill>
    </fill>
  </fills>
  <borders count="48">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top style="thin">
        <color theme="0"/>
      </top>
      <bottom style="thin">
        <color indexed="64"/>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theme="0"/>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style="thin">
        <color indexed="64"/>
      </bottom>
      <diagonal/>
    </border>
    <border>
      <left/>
      <right style="thin">
        <color indexed="64"/>
      </right>
      <top style="thin">
        <color theme="0"/>
      </top>
      <bottom/>
      <diagonal/>
    </border>
    <border>
      <left/>
      <right style="thin">
        <color theme="0"/>
      </right>
      <top style="thin">
        <color theme="0"/>
      </top>
      <bottom style="thin">
        <color theme="0"/>
      </bottom>
      <diagonal/>
    </border>
    <border>
      <left/>
      <right style="medium">
        <color indexed="64"/>
      </right>
      <top style="thin">
        <color indexed="64"/>
      </top>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2" fillId="0" borderId="0"/>
    <xf numFmtId="0" fontId="33" fillId="12" borderId="13" applyNumberFormat="0" applyProtection="0">
      <alignment horizontal="center" vertical="center"/>
    </xf>
    <xf numFmtId="43" fontId="9" fillId="0" borderId="0" applyFont="0" applyFill="0" applyBorder="0" applyAlignment="0" applyProtection="0"/>
  </cellStyleXfs>
  <cellXfs count="376">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1" fillId="3" borderId="31" xfId="0" applyFont="1" applyFill="1" applyBorder="1" applyAlignment="1">
      <alignment horizontal="center" vertical="center" wrapText="1"/>
    </xf>
    <xf numFmtId="0" fontId="2" fillId="3" borderId="32" xfId="0" applyFont="1" applyFill="1" applyBorder="1" applyAlignment="1">
      <alignment horizontal="centerContinuous" vertical="center"/>
    </xf>
    <xf numFmtId="0" fontId="1" fillId="3" borderId="35"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2" fillId="3" borderId="33" xfId="0" applyFont="1" applyFill="1" applyBorder="1" applyAlignment="1">
      <alignment vertical="center" wrapText="1"/>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5" fillId="0" borderId="5" xfId="0" applyFont="1" applyBorder="1" applyAlignment="1">
      <alignment horizontal="left" vertical="center" wrapText="1"/>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4"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7"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17" fontId="3" fillId="2" borderId="9" xfId="0" applyNumberFormat="1" applyFont="1" applyFill="1" applyBorder="1" applyAlignment="1">
      <alignment horizontal="center" vertical="center"/>
    </xf>
    <xf numFmtId="0" fontId="3" fillId="2" borderId="30"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0" fontId="0" fillId="0" borderId="0" xfId="0" applyNumberFormat="1"/>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8" borderId="1" xfId="0"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167" fontId="5" fillId="8" borderId="1" xfId="0" applyNumberFormat="1" applyFont="1" applyFill="1" applyBorder="1" applyAlignment="1">
      <alignment horizontal="center" vertical="center"/>
    </xf>
    <xf numFmtId="167" fontId="5" fillId="8" borderId="4" xfId="0" applyNumberFormat="1" applyFont="1" applyFill="1" applyBorder="1" applyAlignment="1">
      <alignment horizontal="center" vertical="center"/>
    </xf>
    <xf numFmtId="9" fontId="5" fillId="8"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14" fontId="5" fillId="7" borderId="0" xfId="0" applyNumberFormat="1" applyFont="1" applyFill="1" applyAlignment="1">
      <alignment horizontal="center" vertical="center"/>
    </xf>
    <xf numFmtId="167" fontId="5" fillId="2" borderId="0" xfId="0" applyNumberFormat="1" applyFont="1" applyFill="1" applyAlignment="1">
      <alignment horizontal="center" vertical="center"/>
    </xf>
    <xf numFmtId="167" fontId="5" fillId="2" borderId="3" xfId="0" applyNumberFormat="1" applyFont="1" applyFill="1" applyBorder="1" applyAlignment="1">
      <alignment horizontal="center" vertical="center"/>
    </xf>
    <xf numFmtId="3" fontId="5" fillId="0" borderId="0" xfId="0" applyNumberFormat="1" applyFont="1" applyAlignment="1">
      <alignment horizontal="left" vertical="center" wrapText="1"/>
    </xf>
    <xf numFmtId="1" fontId="5" fillId="2" borderId="5"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5" borderId="7"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0" fontId="28"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70" fontId="5" fillId="2" borderId="7" xfId="0" applyNumberFormat="1" applyFont="1" applyFill="1" applyBorder="1" applyAlignment="1">
      <alignment horizontal="center" vertical="center"/>
    </xf>
    <xf numFmtId="3" fontId="5" fillId="8" borderId="5" xfId="0" applyNumberFormat="1" applyFont="1" applyFill="1" applyBorder="1" applyAlignment="1">
      <alignment horizontal="center" vertical="center"/>
    </xf>
    <xf numFmtId="0" fontId="2" fillId="3" borderId="8" xfId="0" applyFont="1" applyFill="1" applyBorder="1" applyAlignment="1">
      <alignment vertical="center" wrapText="1"/>
    </xf>
    <xf numFmtId="0" fontId="1" fillId="3" borderId="2" xfId="0" applyFont="1" applyFill="1" applyBorder="1" applyAlignment="1">
      <alignment horizontal="center" vertical="center" wrapText="1"/>
    </xf>
    <xf numFmtId="0" fontId="6" fillId="5" borderId="13" xfId="0" applyFont="1" applyFill="1" applyBorder="1" applyAlignment="1">
      <alignment horizontal="center" vertical="center"/>
    </xf>
    <xf numFmtId="4" fontId="5" fillId="0" borderId="0" xfId="0" applyNumberFormat="1" applyFont="1" applyAlignment="1">
      <alignment horizontal="left" vertical="center" wrapText="1"/>
    </xf>
    <xf numFmtId="0" fontId="2" fillId="0" borderId="0" xfId="0" applyFont="1" applyAlignment="1">
      <alignment horizontal="left" vertical="center"/>
    </xf>
    <xf numFmtId="0" fontId="3" fillId="2" borderId="14" xfId="0" applyFont="1" applyFill="1" applyBorder="1" applyAlignment="1">
      <alignment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2" fillId="3" borderId="33"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9" fillId="0" borderId="0" xfId="0" applyFont="1"/>
    <xf numFmtId="0" fontId="0" fillId="0" borderId="0" xfId="0" applyAlignment="1">
      <alignment horizontal="center" vertical="center"/>
    </xf>
    <xf numFmtId="0" fontId="0" fillId="0" borderId="0" xfId="0" applyAlignment="1">
      <alignment horizontal="center"/>
    </xf>
    <xf numFmtId="17" fontId="0" fillId="0" borderId="8" xfId="0" quotePrefix="1" applyNumberFormat="1" applyBorder="1" applyAlignment="1">
      <alignment horizontal="center"/>
    </xf>
    <xf numFmtId="171" fontId="0" fillId="0" borderId="0" xfId="5" applyNumberFormat="1" applyFont="1"/>
    <xf numFmtId="3" fontId="0" fillId="0" borderId="8" xfId="0" applyNumberFormat="1" applyBorder="1"/>
    <xf numFmtId="0" fontId="0" fillId="9" borderId="13" xfId="0" applyFill="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0" fontId="0" fillId="9" borderId="13" xfId="0" applyFill="1" applyBorder="1" applyAlignment="1">
      <alignment horizontal="center" vertical="center" wrapText="1"/>
    </xf>
    <xf numFmtId="0" fontId="0" fillId="0" borderId="13" xfId="0" applyBorder="1" applyAlignment="1">
      <alignment horizontal="center" vertical="center" wrapText="1"/>
    </xf>
    <xf numFmtId="3" fontId="0" fillId="9" borderId="10" xfId="0" applyNumberFormat="1" applyFill="1" applyBorder="1" applyAlignment="1">
      <alignment horizontal="center" vertical="center" wrapText="1"/>
    </xf>
    <xf numFmtId="3" fontId="0" fillId="9" borderId="13" xfId="0" applyNumberFormat="1" applyFill="1" applyBorder="1" applyAlignment="1">
      <alignment horizontal="center" vertical="center" wrapText="1"/>
    </xf>
    <xf numFmtId="3" fontId="0" fillId="9" borderId="13" xfId="0" applyNumberFormat="1" applyFill="1" applyBorder="1" applyAlignment="1">
      <alignment horizontal="center" vertical="center"/>
    </xf>
    <xf numFmtId="3" fontId="0" fillId="0" borderId="13" xfId="0" applyNumberFormat="1" applyBorder="1" applyAlignment="1">
      <alignment horizontal="center" vertical="center"/>
    </xf>
    <xf numFmtId="3" fontId="0" fillId="0" borderId="13" xfId="0" applyNumberFormat="1" applyBorder="1" applyAlignment="1">
      <alignment horizontal="center"/>
    </xf>
    <xf numFmtId="3" fontId="0" fillId="9" borderId="10" xfId="0" applyNumberFormat="1" applyFill="1" applyBorder="1" applyAlignment="1">
      <alignment horizontal="center"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23" fillId="10" borderId="0" xfId="0" applyFont="1" applyFill="1" applyAlignment="1">
      <alignment horizontal="center" vertical="center"/>
    </xf>
    <xf numFmtId="0" fontId="0" fillId="10" borderId="0" xfId="0" applyFill="1" applyAlignment="1">
      <alignment horizontal="center" vertical="center"/>
    </xf>
    <xf numFmtId="0" fontId="23" fillId="0" borderId="0" xfId="0" applyFont="1" applyAlignment="1">
      <alignment horizontal="center" vertical="center"/>
    </xf>
    <xf numFmtId="0" fontId="23" fillId="9" borderId="0" xfId="0" applyFont="1" applyFill="1" applyAlignment="1">
      <alignment horizontal="center" vertical="center"/>
    </xf>
    <xf numFmtId="0" fontId="0" fillId="9" borderId="0" xfId="0" applyFill="1" applyAlignment="1">
      <alignment horizontal="center" vertical="center"/>
    </xf>
    <xf numFmtId="0" fontId="23" fillId="11" borderId="0" xfId="0" applyFont="1" applyFill="1" applyAlignment="1">
      <alignment horizontal="center" vertical="center"/>
    </xf>
    <xf numFmtId="0" fontId="0" fillId="11" borderId="0" xfId="0" applyFill="1" applyAlignment="1">
      <alignment horizontal="center" vertical="center"/>
    </xf>
    <xf numFmtId="3" fontId="23"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3" fontId="23" fillId="0" borderId="14" xfId="0" applyNumberFormat="1" applyFont="1" applyBorder="1" applyAlignment="1">
      <alignment horizontal="center" vertical="center" wrapText="1"/>
    </xf>
    <xf numFmtId="3" fontId="0" fillId="0" borderId="16" xfId="0" applyNumberFormat="1" applyBorder="1" applyAlignment="1">
      <alignment horizontal="center"/>
    </xf>
    <xf numFmtId="9" fontId="0" fillId="0" borderId="16"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169" fontId="0" fillId="0" borderId="13" xfId="0" applyNumberFormat="1" applyBorder="1" applyAlignment="1">
      <alignment horizontal="center"/>
    </xf>
    <xf numFmtId="9" fontId="0" fillId="0" borderId="9" xfId="0" applyNumberFormat="1" applyBorder="1" applyAlignment="1">
      <alignment horizontal="center"/>
    </xf>
    <xf numFmtId="169" fontId="0" fillId="0" borderId="0" xfId="0" applyNumberFormat="1"/>
    <xf numFmtId="165" fontId="0" fillId="0" borderId="0" xfId="0" applyNumberFormat="1" applyAlignment="1">
      <alignment horizontal="center"/>
    </xf>
    <xf numFmtId="165" fontId="0" fillId="11" borderId="0" xfId="0" applyNumberFormat="1" applyFill="1" applyAlignment="1">
      <alignment horizontal="center"/>
    </xf>
    <xf numFmtId="0" fontId="0" fillId="0" borderId="0" xfId="0" applyAlignment="1">
      <alignment horizontal="left"/>
    </xf>
    <xf numFmtId="0" fontId="6" fillId="0" borderId="0" xfId="0" applyFont="1" applyAlignment="1">
      <alignment horizontal="center" vertical="center" wrapText="1"/>
    </xf>
    <xf numFmtId="9" fontId="5" fillId="0" borderId="0" xfId="1" applyFont="1" applyAlignment="1">
      <alignment vertical="center"/>
    </xf>
    <xf numFmtId="165" fontId="5" fillId="0" borderId="0" xfId="0" applyNumberFormat="1" applyFont="1" applyAlignment="1">
      <alignment horizontal="left" vertical="center" wrapText="1"/>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31"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8"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35" fillId="0" borderId="0" xfId="0" applyFont="1"/>
    <xf numFmtId="0" fontId="0" fillId="0" borderId="5" xfId="0" applyBorder="1"/>
    <xf numFmtId="0" fontId="2" fillId="3" borderId="0" xfId="0" applyFont="1" applyFill="1" applyAlignment="1">
      <alignment horizontal="right" vertical="center"/>
    </xf>
    <xf numFmtId="3" fontId="3" fillId="13" borderId="0" xfId="0" applyNumberFormat="1" applyFont="1" applyFill="1" applyAlignment="1">
      <alignment horizontal="center" vertical="center"/>
    </xf>
    <xf numFmtId="37" fontId="3" fillId="13" borderId="0" xfId="0" applyNumberFormat="1" applyFont="1" applyFill="1" applyAlignment="1">
      <alignment horizontal="center" vertical="center"/>
    </xf>
    <xf numFmtId="3" fontId="3" fillId="13" borderId="2" xfId="0" applyNumberFormat="1" applyFont="1" applyFill="1" applyBorder="1" applyAlignment="1">
      <alignment horizontal="center" vertical="center"/>
    </xf>
    <xf numFmtId="3" fontId="5" fillId="13" borderId="1" xfId="0" applyNumberFormat="1" applyFont="1" applyFill="1" applyBorder="1" applyAlignment="1">
      <alignment horizontal="center" vertical="center"/>
    </xf>
    <xf numFmtId="3" fontId="5" fillId="13" borderId="0" xfId="0" applyNumberFormat="1" applyFont="1" applyFill="1" applyAlignment="1">
      <alignment horizontal="center" vertical="center"/>
    </xf>
    <xf numFmtId="1" fontId="6" fillId="2" borderId="8" xfId="0" quotePrefix="1" applyNumberFormat="1" applyFont="1" applyFill="1" applyBorder="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3" xfId="0" applyFont="1" applyFill="1" applyBorder="1" applyAlignment="1">
      <alignment horizontal="center" vertical="center" wrapText="1"/>
    </xf>
    <xf numFmtId="0" fontId="2" fillId="3" borderId="43"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 fontId="5" fillId="2" borderId="12" xfId="0" quotePrefix="1" applyNumberFormat="1" applyFont="1" applyFill="1" applyBorder="1" applyAlignment="1">
      <alignment horizontal="center" vertical="center"/>
    </xf>
    <xf numFmtId="0" fontId="3" fillId="3" borderId="0" xfId="0" applyFont="1" applyFill="1" applyAlignment="1">
      <alignment vertical="center"/>
    </xf>
    <xf numFmtId="3" fontId="36" fillId="3" borderId="0" xfId="0" applyNumberFormat="1" applyFont="1" applyFill="1" applyAlignment="1">
      <alignment horizontal="center" vertical="center"/>
    </xf>
    <xf numFmtId="3" fontId="4" fillId="3" borderId="40" xfId="0" applyNumberFormat="1" applyFont="1" applyFill="1" applyBorder="1" applyAlignment="1">
      <alignment horizontal="center" vertical="center"/>
    </xf>
    <xf numFmtId="3" fontId="4" fillId="3" borderId="0" xfId="0" applyNumberFormat="1" applyFont="1" applyFill="1" applyAlignment="1">
      <alignment horizontal="center" vertical="center"/>
    </xf>
    <xf numFmtId="9" fontId="3" fillId="3" borderId="3" xfId="0" applyNumberFormat="1" applyFont="1" applyFill="1" applyBorder="1" applyAlignment="1">
      <alignment horizontal="center" vertical="center"/>
    </xf>
    <xf numFmtId="0" fontId="1" fillId="3" borderId="0" xfId="0" applyFont="1" applyFill="1" applyAlignment="1">
      <alignment vertical="center" wrapText="1"/>
    </xf>
    <xf numFmtId="0" fontId="1" fillId="3" borderId="44" xfId="0" applyFont="1" applyFill="1" applyBorder="1" applyAlignment="1">
      <alignment horizontal="center" vertical="center" wrapText="1"/>
    </xf>
    <xf numFmtId="9" fontId="1" fillId="3" borderId="11" xfId="0" applyNumberFormat="1" applyFont="1" applyFill="1" applyBorder="1" applyAlignment="1">
      <alignment horizontal="center" vertical="center" wrapText="1"/>
    </xf>
    <xf numFmtId="9" fontId="1" fillId="3" borderId="45" xfId="0" applyNumberFormat="1" applyFont="1" applyFill="1" applyBorder="1" applyAlignment="1">
      <alignment horizontal="center" vertical="center" wrapText="1"/>
    </xf>
    <xf numFmtId="9" fontId="5" fillId="2" borderId="16" xfId="0" applyNumberFormat="1" applyFont="1" applyFill="1" applyBorder="1" applyAlignment="1">
      <alignment horizontal="center" vertical="center"/>
    </xf>
    <xf numFmtId="0" fontId="5" fillId="2" borderId="2" xfId="0" applyFont="1" applyFill="1" applyBorder="1" applyAlignment="1">
      <alignment horizontal="center" vertical="center"/>
    </xf>
    <xf numFmtId="9" fontId="5" fillId="2" borderId="10" xfId="0"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0" fontId="0" fillId="0" borderId="3" xfId="0" applyBorder="1" applyAlignment="1">
      <alignment vertical="center"/>
    </xf>
    <xf numFmtId="9" fontId="3" fillId="13" borderId="0" xfId="1" applyFont="1" applyFill="1" applyAlignment="1">
      <alignment horizontal="center" vertical="center" wrapText="1"/>
    </xf>
    <xf numFmtId="1" fontId="5" fillId="13" borderId="0" xfId="0" applyNumberFormat="1" applyFont="1" applyFill="1" applyAlignment="1">
      <alignment horizontal="center" vertical="center"/>
    </xf>
    <xf numFmtId="9" fontId="5" fillId="13" borderId="3" xfId="0" applyNumberFormat="1" applyFont="1" applyFill="1" applyBorder="1" applyAlignment="1">
      <alignment horizontal="center" vertical="center"/>
    </xf>
    <xf numFmtId="0" fontId="5" fillId="13" borderId="0" xfId="0" applyFont="1" applyFill="1" applyAlignment="1">
      <alignment horizontal="center" vertical="center"/>
    </xf>
    <xf numFmtId="3" fontId="6" fillId="13" borderId="6" xfId="0" applyNumberFormat="1" applyFont="1" applyFill="1" applyBorder="1" applyAlignment="1">
      <alignment horizontal="center" vertical="center"/>
    </xf>
    <xf numFmtId="3" fontId="6" fillId="13" borderId="8" xfId="0" applyNumberFormat="1" applyFont="1" applyFill="1" applyBorder="1" applyAlignment="1">
      <alignment horizontal="center" vertical="center"/>
    </xf>
    <xf numFmtId="3" fontId="6" fillId="13" borderId="1" xfId="0" applyNumberFormat="1" applyFont="1" applyFill="1" applyBorder="1" applyAlignment="1">
      <alignment horizontal="center" vertical="center"/>
    </xf>
    <xf numFmtId="9" fontId="5" fillId="13" borderId="0" xfId="0" applyNumberFormat="1" applyFont="1" applyFill="1" applyAlignment="1">
      <alignment horizontal="center" vertical="center"/>
    </xf>
    <xf numFmtId="3" fontId="5" fillId="13" borderId="8" xfId="0" applyNumberFormat="1" applyFont="1" applyFill="1" applyBorder="1" applyAlignment="1">
      <alignment horizontal="center" vertical="center"/>
    </xf>
    <xf numFmtId="166" fontId="6" fillId="13" borderId="7" xfId="0" applyNumberFormat="1" applyFont="1" applyFill="1" applyBorder="1" applyAlignment="1">
      <alignment horizontal="center" vertical="center"/>
    </xf>
    <xf numFmtId="14" fontId="5" fillId="8" borderId="0" xfId="0" applyNumberFormat="1" applyFont="1" applyFill="1" applyAlignment="1">
      <alignment horizontal="center" vertical="center"/>
    </xf>
    <xf numFmtId="0" fontId="35" fillId="0" borderId="0" xfId="0" applyFont="1" applyAlignment="1">
      <alignment vertical="center"/>
    </xf>
    <xf numFmtId="0" fontId="34"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1" fontId="3" fillId="2" borderId="8" xfId="0" applyNumberFormat="1" applyFont="1" applyFill="1" applyBorder="1" applyAlignment="1">
      <alignment horizontal="center" vertical="center" wrapText="1"/>
    </xf>
    <xf numFmtId="3" fontId="0" fillId="0" borderId="0" xfId="0" applyNumberFormat="1" applyAlignment="1">
      <alignment vertical="center"/>
    </xf>
    <xf numFmtId="17" fontId="3" fillId="2" borderId="6"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3" fillId="2" borderId="47" xfId="0" applyFont="1" applyFill="1" applyBorder="1" applyAlignment="1">
      <alignment horizontal="center" vertical="center"/>
    </xf>
    <xf numFmtId="3" fontId="3" fillId="2" borderId="2" xfId="0" applyNumberFormat="1"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1" fontId="5" fillId="0" borderId="12" xfId="0" applyNumberFormat="1" applyFont="1" applyBorder="1" applyAlignment="1">
      <alignment horizontal="left" vertical="center"/>
    </xf>
    <xf numFmtId="1" fontId="5" fillId="0" borderId="8" xfId="0" applyNumberFormat="1" applyFont="1" applyBorder="1" applyAlignment="1">
      <alignment horizontal="left" vertical="center"/>
    </xf>
    <xf numFmtId="0" fontId="2" fillId="3" borderId="5" xfId="0" applyFont="1" applyFill="1" applyBorder="1" applyAlignment="1">
      <alignment horizontal="left" vertical="center"/>
    </xf>
    <xf numFmtId="0" fontId="1" fillId="3" borderId="0" xfId="0" applyFont="1" applyFill="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40" xfId="0" applyFont="1" applyFill="1" applyBorder="1" applyAlignment="1">
      <alignment horizontal="center" vertical="center"/>
    </xf>
    <xf numFmtId="0" fontId="2" fillId="3" borderId="42" xfId="0" applyFont="1" applyFill="1" applyBorder="1" applyAlignment="1">
      <alignment horizontal="center" vertical="center"/>
    </xf>
    <xf numFmtId="0" fontId="15" fillId="0" borderId="0" xfId="0" applyFont="1" applyAlignment="1">
      <alignment horizontal="left" vertical="center" wrapText="1"/>
    </xf>
    <xf numFmtId="0" fontId="37" fillId="0" borderId="0" xfId="0" applyFont="1" applyAlignment="1">
      <alignment horizontal="left" wrapText="1"/>
    </xf>
    <xf numFmtId="0" fontId="35" fillId="0" borderId="0" xfId="0" applyFont="1" applyAlignment="1">
      <alignment horizontal="left"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35" fillId="0" borderId="0" xfId="0" applyFont="1" applyAlignment="1">
      <alignment horizontal="left" vertical="center" wrapText="1"/>
    </xf>
    <xf numFmtId="0" fontId="1" fillId="3" borderId="46"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5"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3" fillId="2" borderId="3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9" xfId="0" applyFont="1" applyFill="1" applyBorder="1" applyAlignment="1">
      <alignment horizontal="center" vertical="center"/>
    </xf>
    <xf numFmtId="0" fontId="0" fillId="9" borderId="13" xfId="0" applyFill="1" applyBorder="1" applyAlignment="1">
      <alignment horizontal="center" vertical="center"/>
    </xf>
    <xf numFmtId="0" fontId="0" fillId="0" borderId="13" xfId="0" applyBorder="1" applyAlignment="1">
      <alignment horizontal="center" vertical="center"/>
    </xf>
    <xf numFmtId="0" fontId="30" fillId="6" borderId="0" xfId="0" applyFont="1" applyFill="1" applyAlignment="1">
      <alignment horizontal="center" vertical="center"/>
    </xf>
    <xf numFmtId="0" fontId="0" fillId="0" borderId="13" xfId="0" applyBorder="1" applyAlignment="1">
      <alignment horizont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Financials'!$L$99</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Financials'!$M$98:$Q$98</c:f>
              <c:strCache>
                <c:ptCount val="5"/>
                <c:pt idx="0">
                  <c:v>2023</c:v>
                </c:pt>
                <c:pt idx="1">
                  <c:v>2024E</c:v>
                </c:pt>
                <c:pt idx="2">
                  <c:v>2025E</c:v>
                </c:pt>
                <c:pt idx="3">
                  <c:v>2026E</c:v>
                </c:pt>
                <c:pt idx="4">
                  <c:v>2027E</c:v>
                </c:pt>
              </c:strCache>
            </c:strRef>
          </c:cat>
          <c:val>
            <c:numRef>
              <c:f>'Mature Portfolio Financials'!$M$99:$Q$99</c:f>
              <c:numCache>
                <c:formatCode>#,##0</c:formatCode>
                <c:ptCount val="5"/>
                <c:pt idx="0">
                  <c:v>1883</c:v>
                </c:pt>
                <c:pt idx="1">
                  <c:v>1990</c:v>
                </c:pt>
                <c:pt idx="2">
                  <c:v>1990</c:v>
                </c:pt>
                <c:pt idx="3">
                  <c:v>1990</c:v>
                </c:pt>
                <c:pt idx="4">
                  <c:v>1990</c:v>
                </c:pt>
              </c:numCache>
            </c:numRef>
          </c:val>
          <c:extLst>
            <c:ext xmlns:c16="http://schemas.microsoft.com/office/drawing/2014/chart" uri="{C3380CC4-5D6E-409C-BE32-E72D297353CC}">
              <c16:uniqueId val="{00000000-0734-4E34-A841-0200D04EE2F1}"/>
            </c:ext>
          </c:extLst>
        </c:ser>
        <c:ser>
          <c:idx val="1"/>
          <c:order val="1"/>
          <c:tx>
            <c:strRef>
              <c:f>'Mature Portfolio Financials'!$L$100</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Financials'!$M$98:$Q$98</c:f>
              <c:strCache>
                <c:ptCount val="5"/>
                <c:pt idx="0">
                  <c:v>2023</c:v>
                </c:pt>
                <c:pt idx="1">
                  <c:v>2024E</c:v>
                </c:pt>
                <c:pt idx="2">
                  <c:v>2025E</c:v>
                </c:pt>
                <c:pt idx="3">
                  <c:v>2026E</c:v>
                </c:pt>
                <c:pt idx="4">
                  <c:v>2027E</c:v>
                </c:pt>
              </c:strCache>
            </c:strRef>
          </c:cat>
          <c:val>
            <c:numRef>
              <c:f>'Mature Portfolio Financials'!$M$100:$Q$100</c:f>
              <c:numCache>
                <c:formatCode>#,##0</c:formatCode>
                <c:ptCount val="5"/>
                <c:pt idx="0">
                  <c:v>0</c:v>
                </c:pt>
                <c:pt idx="1">
                  <c:v>441</c:v>
                </c:pt>
                <c:pt idx="2">
                  <c:v>535</c:v>
                </c:pt>
                <c:pt idx="3">
                  <c:v>535</c:v>
                </c:pt>
                <c:pt idx="4">
                  <c:v>535</c:v>
                </c:pt>
              </c:numCache>
            </c:numRef>
          </c:val>
          <c:extLst>
            <c:ext xmlns:c16="http://schemas.microsoft.com/office/drawing/2014/chart" uri="{C3380CC4-5D6E-409C-BE32-E72D297353CC}">
              <c16:uniqueId val="{00000001-0734-4E34-A841-0200D04EE2F1}"/>
            </c:ext>
          </c:extLst>
        </c:ser>
        <c:ser>
          <c:idx val="2"/>
          <c:order val="2"/>
          <c:tx>
            <c:strRef>
              <c:f>'Mature Portfolio Financials'!$L$101</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Financials'!$M$98:$Q$98</c:f>
              <c:strCache>
                <c:ptCount val="5"/>
                <c:pt idx="0">
                  <c:v>2023</c:v>
                </c:pt>
                <c:pt idx="1">
                  <c:v>2024E</c:v>
                </c:pt>
                <c:pt idx="2">
                  <c:v>2025E</c:v>
                </c:pt>
                <c:pt idx="3">
                  <c:v>2026E</c:v>
                </c:pt>
                <c:pt idx="4">
                  <c:v>2027E</c:v>
                </c:pt>
              </c:strCache>
            </c:strRef>
          </c:cat>
          <c:val>
            <c:numRef>
              <c:f>'Mature Portfolio Financials'!$M$101:$Q$101</c:f>
              <c:numCache>
                <c:formatCode>#,##0</c:formatCode>
                <c:ptCount val="5"/>
                <c:pt idx="0">
                  <c:v>0</c:v>
                </c:pt>
                <c:pt idx="1">
                  <c:v>0</c:v>
                </c:pt>
                <c:pt idx="2">
                  <c:v>429</c:v>
                </c:pt>
                <c:pt idx="3">
                  <c:v>2262</c:v>
                </c:pt>
                <c:pt idx="4">
                  <c:v>2868</c:v>
                </c:pt>
              </c:numCache>
            </c:numRef>
          </c:val>
          <c:extLst>
            <c:ext xmlns:c16="http://schemas.microsoft.com/office/drawing/2014/chart" uri="{C3380CC4-5D6E-409C-BE32-E72D297353CC}">
              <c16:uniqueId val="{00000002-0734-4E34-A841-0200D04EE2F1}"/>
            </c:ext>
          </c:extLst>
        </c:ser>
        <c:ser>
          <c:idx val="3"/>
          <c:order val="3"/>
          <c:tx>
            <c:strRef>
              <c:f>'Mature Portfolio Financials'!$L$102</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Financials'!$M$98:$Q$98</c:f>
              <c:strCache>
                <c:ptCount val="5"/>
                <c:pt idx="0">
                  <c:v>2023</c:v>
                </c:pt>
                <c:pt idx="1">
                  <c:v>2024E</c:v>
                </c:pt>
                <c:pt idx="2">
                  <c:v>2025E</c:v>
                </c:pt>
                <c:pt idx="3">
                  <c:v>2026E</c:v>
                </c:pt>
                <c:pt idx="4">
                  <c:v>2027E</c:v>
                </c:pt>
              </c:strCache>
            </c:strRef>
          </c:cat>
          <c:val>
            <c:numRef>
              <c:f>'Mature Portfolio Financials'!$M$102:$Q$102</c:f>
              <c:numCache>
                <c:formatCode>#,##0</c:formatCode>
                <c:ptCount val="5"/>
                <c:pt idx="0">
                  <c:v>1883</c:v>
                </c:pt>
                <c:pt idx="1">
                  <c:v>2431</c:v>
                </c:pt>
                <c:pt idx="2">
                  <c:v>2954</c:v>
                </c:pt>
                <c:pt idx="3">
                  <c:v>4787</c:v>
                </c:pt>
                <c:pt idx="4">
                  <c:v>5393</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60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27213</xdr:colOff>
      <xdr:row>5</xdr:row>
      <xdr:rowOff>27214</xdr:rowOff>
    </xdr:from>
    <xdr:to>
      <xdr:col>19</xdr:col>
      <xdr:colOff>3175</xdr:colOff>
      <xdr:row>26</xdr:row>
      <xdr:rowOff>190136</xdr:rowOff>
    </xdr:to>
    <xdr:pic>
      <xdr:nvPicPr>
        <xdr:cNvPr id="8" name="Graphic 1">
          <a:extLst>
            <a:ext uri="{FF2B5EF4-FFF2-40B4-BE49-F238E27FC236}">
              <a16:creationId xmlns:a16="http://schemas.microsoft.com/office/drawing/2014/main" id="{BABCF64B-DF1F-6CBA-4D6F-ABC077A144B5}"/>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1211" t="18394" r="275" b="6657"/>
        <a:stretch/>
      </xdr:blipFill>
      <xdr:spPr bwMode="auto">
        <a:xfrm>
          <a:off x="244927" y="1129393"/>
          <a:ext cx="10164537" cy="416024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94</xdr:row>
      <xdr:rowOff>230414</xdr:rowOff>
    </xdr:from>
    <xdr:to>
      <xdr:col>8</xdr:col>
      <xdr:colOff>936625</xdr:colOff>
      <xdr:row>107</xdr:row>
      <xdr:rowOff>238125</xdr:rowOff>
    </xdr:to>
    <xdr:graphicFrame macro="">
      <xdr:nvGraphicFramePr>
        <xdr:cNvPr id="6"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83297</xdr:rowOff>
    </xdr:from>
    <xdr:to>
      <xdr:col>20</xdr:col>
      <xdr:colOff>235324</xdr:colOff>
      <xdr:row>37</xdr:row>
      <xdr:rowOff>12581</xdr:rowOff>
    </xdr:to>
    <xdr:pic>
      <xdr:nvPicPr>
        <xdr:cNvPr id="2" name="Graphic 1">
          <a:extLst>
            <a:ext uri="{FF2B5EF4-FFF2-40B4-BE49-F238E27FC236}">
              <a16:creationId xmlns:a16="http://schemas.microsoft.com/office/drawing/2014/main" id="{BBBA3046-4666-4C36-3947-127AC3E8E72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83297"/>
          <a:ext cx="10522324" cy="65631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zoomScale="55" zoomScaleNormal="55" workbookViewId="0"/>
  </sheetViews>
  <sheetFormatPr defaultColWidth="0" defaultRowHeight="15" zeroHeight="1" x14ac:dyDescent="0.25"/>
  <cols>
    <col min="1" max="1" width="178.85546875" customWidth="1"/>
    <col min="2" max="13" width="8.7109375" hidden="1" customWidth="1"/>
    <col min="14" max="16383" width="8.7109375" hidden="1"/>
    <col min="16384" max="16384" width="8.7109375" hidden="1" customWidth="1"/>
  </cols>
  <sheetData>
    <row r="1" spans="1:1" ht="31.5" customHeight="1" x14ac:dyDescent="0.25">
      <c r="A1" s="74" t="s">
        <v>0</v>
      </c>
    </row>
    <row r="2" spans="1:1" ht="165.6" customHeight="1" x14ac:dyDescent="0.25">
      <c r="A2" s="76" t="s">
        <v>1</v>
      </c>
    </row>
    <row r="3" spans="1:1" ht="336.95" customHeight="1" x14ac:dyDescent="0.25">
      <c r="A3" s="76" t="s">
        <v>2</v>
      </c>
    </row>
    <row r="4" spans="1:1" ht="108.95" customHeight="1" x14ac:dyDescent="0.25">
      <c r="A4" s="76" t="s">
        <v>3</v>
      </c>
    </row>
    <row r="5" spans="1:1" ht="141" customHeight="1" x14ac:dyDescent="0.25">
      <c r="A5" s="76" t="s">
        <v>4</v>
      </c>
    </row>
    <row r="6" spans="1:1" ht="186.95" customHeight="1" x14ac:dyDescent="0.25">
      <c r="A6" s="76" t="s">
        <v>5</v>
      </c>
    </row>
    <row r="7" spans="1:1" ht="92.45" customHeight="1" x14ac:dyDescent="0.25">
      <c r="A7" s="76" t="s">
        <v>6</v>
      </c>
    </row>
    <row r="8" spans="1:1" ht="18" x14ac:dyDescent="0.25">
      <c r="A8" s="75"/>
    </row>
    <row r="9" spans="1:1" ht="18" x14ac:dyDescent="0.25">
      <c r="A9" s="75"/>
    </row>
    <row r="10" spans="1: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92F9-F533-4282-9082-13BE8A9212C9}">
  <sheetPr codeName="Sheet14">
    <tabColor theme="7"/>
  </sheetPr>
  <dimension ref="B2:G34"/>
  <sheetViews>
    <sheetView workbookViewId="0">
      <selection activeCell="C5" sqref="C5"/>
    </sheetView>
  </sheetViews>
  <sheetFormatPr defaultRowHeight="15" x14ac:dyDescent="0.25"/>
  <cols>
    <col min="2" max="2" width="2" bestFit="1" customWidth="1"/>
    <col min="3" max="3" width="12.42578125" customWidth="1"/>
    <col min="4" max="4" width="2" bestFit="1" customWidth="1"/>
  </cols>
  <sheetData>
    <row r="2" spans="2:7" x14ac:dyDescent="0.25">
      <c r="C2" s="223" t="s">
        <v>180</v>
      </c>
      <c r="E2" s="223" t="s">
        <v>179</v>
      </c>
    </row>
    <row r="3" spans="2:7" x14ac:dyDescent="0.25">
      <c r="B3" t="s">
        <v>112</v>
      </c>
      <c r="C3" s="223">
        <v>99</v>
      </c>
      <c r="D3" t="s">
        <v>112</v>
      </c>
      <c r="E3" s="91">
        <v>105</v>
      </c>
      <c r="F3" s="257">
        <f>C3/E3-1</f>
        <v>-5.7142857142857162E-2</v>
      </c>
    </row>
    <row r="4" spans="2:7" x14ac:dyDescent="0.25">
      <c r="B4" t="s">
        <v>26</v>
      </c>
      <c r="C4" s="223">
        <v>175</v>
      </c>
      <c r="D4" t="s">
        <v>181</v>
      </c>
      <c r="E4" s="91">
        <v>185</v>
      </c>
      <c r="F4" s="257">
        <f>C4/E4-1</f>
        <v>-5.4054054054054057E-2</v>
      </c>
    </row>
    <row r="5" spans="2:7" x14ac:dyDescent="0.25">
      <c r="B5" t="s">
        <v>27</v>
      </c>
      <c r="C5" s="223">
        <v>57</v>
      </c>
      <c r="D5" t="s">
        <v>27</v>
      </c>
      <c r="E5" s="91">
        <v>60</v>
      </c>
      <c r="F5" s="257">
        <f>C5/E5-1</f>
        <v>-5.0000000000000044E-2</v>
      </c>
    </row>
    <row r="6" spans="2:7" x14ac:dyDescent="0.25">
      <c r="B6" t="s">
        <v>116</v>
      </c>
      <c r="C6" s="223">
        <v>312</v>
      </c>
      <c r="D6" t="s">
        <v>116</v>
      </c>
      <c r="E6" s="91">
        <v>331</v>
      </c>
      <c r="F6" s="257">
        <f>C6/E6-1</f>
        <v>-5.7401812688821718E-2</v>
      </c>
    </row>
    <row r="7" spans="2:7" x14ac:dyDescent="0.25">
      <c r="B7" t="s">
        <v>118</v>
      </c>
      <c r="C7" s="223" t="s">
        <v>121</v>
      </c>
      <c r="F7" s="258"/>
    </row>
    <row r="8" spans="2:7" x14ac:dyDescent="0.25">
      <c r="B8" t="s">
        <v>28</v>
      </c>
      <c r="C8" s="223" t="s">
        <v>9</v>
      </c>
      <c r="D8" t="s">
        <v>28</v>
      </c>
      <c r="E8" s="91" t="s">
        <v>9</v>
      </c>
      <c r="F8" s="258"/>
    </row>
    <row r="9" spans="2:7" x14ac:dyDescent="0.25">
      <c r="B9" t="s">
        <v>29</v>
      </c>
      <c r="C9" s="223" t="s">
        <v>121</v>
      </c>
      <c r="D9" t="s">
        <v>29</v>
      </c>
      <c r="E9" s="91" t="s">
        <v>121</v>
      </c>
      <c r="F9" s="258"/>
    </row>
    <row r="10" spans="2:7" x14ac:dyDescent="0.25">
      <c r="B10" t="s">
        <v>30</v>
      </c>
      <c r="C10" s="223" t="s">
        <v>121</v>
      </c>
      <c r="D10" t="s">
        <v>30</v>
      </c>
      <c r="E10" s="91" t="s">
        <v>121</v>
      </c>
      <c r="F10" s="258"/>
    </row>
    <row r="11" spans="2:7" x14ac:dyDescent="0.25">
      <c r="B11" t="s">
        <v>31</v>
      </c>
      <c r="C11" s="223">
        <v>91</v>
      </c>
      <c r="D11" t="s">
        <v>31</v>
      </c>
      <c r="E11" s="91">
        <v>92.078183669428952</v>
      </c>
      <c r="F11" s="257">
        <f t="shared" ref="F11:F16" si="0">C11/E11-1</f>
        <v>-1.1709436768428838E-2</v>
      </c>
    </row>
    <row r="12" spans="2:7" x14ac:dyDescent="0.25">
      <c r="B12" t="s">
        <v>32</v>
      </c>
      <c r="C12" s="223">
        <v>97</v>
      </c>
      <c r="D12" t="s">
        <v>32</v>
      </c>
      <c r="E12" s="91">
        <v>98.064303249710107</v>
      </c>
      <c r="F12" s="257">
        <f t="shared" si="0"/>
        <v>-1.0853115909057909E-2</v>
      </c>
    </row>
    <row r="13" spans="2:7" x14ac:dyDescent="0.25">
      <c r="B13" t="s">
        <v>34</v>
      </c>
      <c r="C13" s="223">
        <v>108</v>
      </c>
      <c r="D13" t="s">
        <v>34</v>
      </c>
      <c r="E13" s="91">
        <v>108.95238566620471</v>
      </c>
      <c r="F13" s="257">
        <f t="shared" si="0"/>
        <v>-8.7413016280571965E-3</v>
      </c>
      <c r="G13" s="259" t="s">
        <v>229</v>
      </c>
    </row>
    <row r="14" spans="2:7" x14ac:dyDescent="0.25">
      <c r="B14" t="s">
        <v>35</v>
      </c>
      <c r="C14" s="223">
        <v>125</v>
      </c>
      <c r="D14" t="s">
        <v>35</v>
      </c>
      <c r="E14" s="91">
        <v>126.28815934609835</v>
      </c>
      <c r="F14" s="257">
        <f t="shared" si="0"/>
        <v>-1.0200159324264879E-2</v>
      </c>
    </row>
    <row r="15" spans="2:7" x14ac:dyDescent="0.25">
      <c r="B15" t="s">
        <v>36</v>
      </c>
      <c r="C15" s="223">
        <v>114</v>
      </c>
      <c r="D15" t="s">
        <v>36</v>
      </c>
      <c r="E15" s="91">
        <v>115.16685963775598</v>
      </c>
      <c r="F15" s="257">
        <f t="shared" si="0"/>
        <v>-1.0131904624526511E-2</v>
      </c>
    </row>
    <row r="16" spans="2:7" x14ac:dyDescent="0.25">
      <c r="B16" t="s">
        <v>37</v>
      </c>
      <c r="C16" s="223">
        <v>77</v>
      </c>
      <c r="D16" t="s">
        <v>37</v>
      </c>
      <c r="E16" s="91">
        <v>78</v>
      </c>
      <c r="F16" s="257">
        <f t="shared" si="0"/>
        <v>-1.2820512820512775E-2</v>
      </c>
    </row>
    <row r="17" spans="2:6" x14ac:dyDescent="0.25">
      <c r="B17" t="s">
        <v>38</v>
      </c>
      <c r="C17" s="223" t="s">
        <v>121</v>
      </c>
      <c r="D17" t="s">
        <v>38</v>
      </c>
      <c r="E17" s="91" t="s">
        <v>121</v>
      </c>
      <c r="F17" s="258"/>
    </row>
    <row r="18" spans="2:6" x14ac:dyDescent="0.25">
      <c r="B18" t="s">
        <v>17</v>
      </c>
      <c r="C18" s="223">
        <v>63</v>
      </c>
      <c r="D18" t="s">
        <v>17</v>
      </c>
      <c r="E18" s="91">
        <v>66.350852927616401</v>
      </c>
      <c r="F18" s="257">
        <f>C18/E18-1</f>
        <v>-5.0502032449709744E-2</v>
      </c>
    </row>
    <row r="19" spans="2:6" x14ac:dyDescent="0.25">
      <c r="B19" t="s">
        <v>318</v>
      </c>
      <c r="C19" s="223" t="s">
        <v>121</v>
      </c>
      <c r="D19" t="s">
        <v>318</v>
      </c>
      <c r="E19" s="91" t="s">
        <v>121</v>
      </c>
      <c r="F19" s="258"/>
    </row>
    <row r="20" spans="2:6" x14ac:dyDescent="0.25">
      <c r="B20" t="s">
        <v>143</v>
      </c>
      <c r="C20" s="223" t="s">
        <v>9</v>
      </c>
      <c r="F20" s="258"/>
    </row>
    <row r="21" spans="2:6" x14ac:dyDescent="0.25">
      <c r="B21" t="e">
        <v>#REF!</v>
      </c>
      <c r="C21" s="223" t="e">
        <v>#REF!</v>
      </c>
      <c r="D21" t="s">
        <v>122</v>
      </c>
      <c r="E21" s="91">
        <v>96</v>
      </c>
      <c r="F21" s="257" t="e">
        <f>C21/E21-1</f>
        <v>#REF!</v>
      </c>
    </row>
    <row r="22" spans="2:6" x14ac:dyDescent="0.25">
      <c r="B22" t="s">
        <v>58</v>
      </c>
      <c r="C22" s="223">
        <v>73</v>
      </c>
      <c r="E22" s="91"/>
      <c r="F22" s="258"/>
    </row>
    <row r="23" spans="2:6" x14ac:dyDescent="0.25">
      <c r="B23" t="s">
        <v>56</v>
      </c>
      <c r="C23" s="223" t="s">
        <v>9</v>
      </c>
      <c r="D23" t="s">
        <v>56</v>
      </c>
      <c r="E23" s="91"/>
      <c r="F23" s="258"/>
    </row>
    <row r="24" spans="2:6" x14ac:dyDescent="0.25">
      <c r="B24" t="s">
        <v>17</v>
      </c>
      <c r="C24" s="223" t="s">
        <v>9</v>
      </c>
      <c r="D24" t="s">
        <v>17</v>
      </c>
      <c r="F24" s="258"/>
    </row>
    <row r="25" spans="2:6" x14ac:dyDescent="0.25">
      <c r="B25" t="s">
        <v>65</v>
      </c>
      <c r="C25" s="223" t="s">
        <v>121</v>
      </c>
      <c r="D25" t="s">
        <v>65</v>
      </c>
      <c r="E25" s="91" t="s">
        <v>121</v>
      </c>
      <c r="F25" s="258"/>
    </row>
    <row r="26" spans="2:6" x14ac:dyDescent="0.25">
      <c r="B26" t="s">
        <v>68</v>
      </c>
      <c r="C26" s="223" t="s">
        <v>121</v>
      </c>
      <c r="F26" s="258"/>
    </row>
    <row r="27" spans="2:6" x14ac:dyDescent="0.25">
      <c r="B27" t="s">
        <v>152</v>
      </c>
      <c r="C27" s="223" t="s">
        <v>121</v>
      </c>
      <c r="D27" t="s">
        <v>152</v>
      </c>
      <c r="E27" s="91" t="s">
        <v>121</v>
      </c>
      <c r="F27" s="258"/>
    </row>
    <row r="28" spans="2:6" x14ac:dyDescent="0.25">
      <c r="B28" t="s">
        <v>155</v>
      </c>
      <c r="C28" s="223" t="s">
        <v>121</v>
      </c>
      <c r="D28" t="s">
        <v>155</v>
      </c>
      <c r="E28" s="91" t="s">
        <v>121</v>
      </c>
      <c r="F28" s="258"/>
    </row>
    <row r="29" spans="2:6" x14ac:dyDescent="0.25">
      <c r="B29" t="s">
        <v>66</v>
      </c>
      <c r="C29" s="223" t="s">
        <v>121</v>
      </c>
      <c r="D29" t="s">
        <v>66</v>
      </c>
      <c r="E29" s="91" t="s">
        <v>121</v>
      </c>
      <c r="F29" s="258"/>
    </row>
    <row r="30" spans="2:6" x14ac:dyDescent="0.25">
      <c r="B30" t="s">
        <v>73</v>
      </c>
      <c r="C30" s="223" t="s">
        <v>9</v>
      </c>
      <c r="D30" t="s">
        <v>73</v>
      </c>
      <c r="E30" s="91" t="s">
        <v>9</v>
      </c>
      <c r="F30" s="258"/>
    </row>
    <row r="31" spans="2:6" x14ac:dyDescent="0.25">
      <c r="B31" t="s">
        <v>166</v>
      </c>
      <c r="C31" s="223" t="s">
        <v>9</v>
      </c>
      <c r="D31" t="s">
        <v>166</v>
      </c>
      <c r="E31" s="91" t="s">
        <v>9</v>
      </c>
      <c r="F31" s="258"/>
    </row>
    <row r="32" spans="2:6" x14ac:dyDescent="0.25">
      <c r="B32" t="s">
        <v>168</v>
      </c>
      <c r="C32" s="223" t="s">
        <v>9</v>
      </c>
      <c r="D32" t="s">
        <v>168</v>
      </c>
      <c r="E32" s="91" t="s">
        <v>9</v>
      </c>
      <c r="F32" s="258"/>
    </row>
    <row r="33" spans="2:6" x14ac:dyDescent="0.25">
      <c r="B33" t="s">
        <v>169</v>
      </c>
      <c r="C33" s="223" t="s">
        <v>9</v>
      </c>
      <c r="D33" t="s">
        <v>169</v>
      </c>
      <c r="E33" s="91" t="s">
        <v>9</v>
      </c>
      <c r="F33" s="258"/>
    </row>
    <row r="34" spans="2:6" x14ac:dyDescent="0.25">
      <c r="B34" t="s">
        <v>17</v>
      </c>
      <c r="C34" s="223" t="s">
        <v>9</v>
      </c>
      <c r="E34" s="91"/>
      <c r="F34" s="2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rgb="FF132547"/>
  </sheetPr>
  <dimension ref="A1:U46"/>
  <sheetViews>
    <sheetView showGridLines="0" zoomScale="55" zoomScaleNormal="55" workbookViewId="0"/>
  </sheetViews>
  <sheetFormatPr defaultColWidth="0" defaultRowHeight="15" zeroHeight="1" x14ac:dyDescent="0.25"/>
  <cols>
    <col min="1" max="1" width="3.28515625" customWidth="1"/>
    <col min="2" max="2" width="3.85546875" style="201" customWidth="1"/>
    <col min="3" max="11" width="8.7109375" style="201" customWidth="1"/>
    <col min="12" max="13" width="8.7109375" style="120" customWidth="1"/>
    <col min="14" max="20" width="8.7109375" customWidth="1"/>
    <col min="21" max="21" width="0" hidden="1" customWidth="1"/>
    <col min="22" max="16384" width="8.7109375" hidden="1"/>
  </cols>
  <sheetData>
    <row r="1" spans="2:21" x14ac:dyDescent="0.25">
      <c r="B1"/>
      <c r="C1"/>
      <c r="D1"/>
      <c r="E1"/>
      <c r="F1"/>
      <c r="G1"/>
      <c r="H1"/>
      <c r="I1"/>
      <c r="J1"/>
      <c r="K1"/>
      <c r="L1"/>
      <c r="M1"/>
    </row>
    <row r="2" spans="2:21" x14ac:dyDescent="0.25">
      <c r="B2"/>
      <c r="C2"/>
      <c r="D2"/>
      <c r="E2"/>
      <c r="F2"/>
      <c r="G2"/>
      <c r="H2"/>
      <c r="I2"/>
      <c r="J2"/>
      <c r="K2"/>
      <c r="L2"/>
      <c r="M2"/>
    </row>
    <row r="3" spans="2:21" s="3" customFormat="1" ht="27" customHeight="1" x14ac:dyDescent="0.25">
      <c r="B3" s="21" t="s">
        <v>7</v>
      </c>
      <c r="C3" s="21"/>
      <c r="D3" s="21"/>
      <c r="E3" s="22"/>
      <c r="F3" s="22"/>
      <c r="G3" s="22"/>
      <c r="H3" s="22"/>
      <c r="I3" s="22"/>
      <c r="J3" s="22"/>
      <c r="K3" s="22"/>
      <c r="L3" s="22"/>
      <c r="M3" s="22"/>
      <c r="N3" s="22"/>
      <c r="O3" s="22"/>
      <c r="P3" s="22"/>
      <c r="Q3" s="22"/>
      <c r="R3" s="22"/>
      <c r="S3" s="22"/>
      <c r="T3"/>
      <c r="U3"/>
    </row>
    <row r="4" spans="2:21" x14ac:dyDescent="0.25">
      <c r="B4"/>
      <c r="C4"/>
      <c r="D4"/>
      <c r="E4"/>
      <c r="F4"/>
      <c r="G4"/>
      <c r="H4"/>
      <c r="I4"/>
      <c r="J4"/>
      <c r="K4"/>
      <c r="L4"/>
      <c r="M4"/>
    </row>
    <row r="5" spans="2:21" x14ac:dyDescent="0.25">
      <c r="B5"/>
      <c r="C5"/>
      <c r="D5"/>
      <c r="E5"/>
      <c r="F5"/>
      <c r="G5"/>
      <c r="H5"/>
      <c r="I5"/>
      <c r="J5"/>
      <c r="K5"/>
      <c r="L5"/>
      <c r="M5"/>
    </row>
    <row r="6" spans="2:21" x14ac:dyDescent="0.25">
      <c r="B6"/>
      <c r="D6"/>
      <c r="E6"/>
      <c r="F6"/>
      <c r="G6"/>
      <c r="H6"/>
      <c r="I6"/>
      <c r="J6"/>
      <c r="K6"/>
      <c r="L6"/>
      <c r="M6"/>
    </row>
    <row r="7" spans="2:21" x14ac:dyDescent="0.25">
      <c r="B7"/>
      <c r="C7"/>
      <c r="D7"/>
      <c r="E7"/>
      <c r="F7"/>
      <c r="G7"/>
      <c r="H7"/>
      <c r="I7"/>
      <c r="J7"/>
      <c r="K7"/>
      <c r="L7"/>
      <c r="M7"/>
    </row>
    <row r="8" spans="2:21" x14ac:dyDescent="0.25">
      <c r="B8"/>
      <c r="C8"/>
      <c r="D8"/>
      <c r="E8"/>
      <c r="F8"/>
      <c r="G8"/>
      <c r="H8"/>
      <c r="I8"/>
      <c r="J8"/>
      <c r="K8"/>
      <c r="L8"/>
      <c r="M8"/>
    </row>
    <row r="9" spans="2:21" x14ac:dyDescent="0.25">
      <c r="B9"/>
      <c r="C9"/>
      <c r="D9"/>
      <c r="E9"/>
      <c r="F9"/>
      <c r="G9"/>
      <c r="H9"/>
      <c r="I9"/>
      <c r="J9"/>
      <c r="K9"/>
      <c r="L9"/>
      <c r="M9"/>
    </row>
    <row r="10" spans="2:21" x14ac:dyDescent="0.25">
      <c r="B10"/>
      <c r="C10"/>
      <c r="D10"/>
      <c r="E10"/>
      <c r="F10"/>
      <c r="G10"/>
      <c r="H10"/>
      <c r="I10"/>
      <c r="J10"/>
      <c r="K10"/>
      <c r="L10"/>
      <c r="M10"/>
    </row>
    <row r="11" spans="2:21" x14ac:dyDescent="0.25">
      <c r="B11"/>
      <c r="C11"/>
      <c r="D11"/>
      <c r="E11"/>
      <c r="F11"/>
      <c r="G11"/>
      <c r="H11"/>
      <c r="I11"/>
      <c r="J11"/>
      <c r="K11"/>
      <c r="L11"/>
      <c r="M11"/>
    </row>
    <row r="12" spans="2:21" x14ac:dyDescent="0.25">
      <c r="B12"/>
      <c r="C12"/>
      <c r="D12"/>
      <c r="E12"/>
      <c r="F12"/>
      <c r="G12"/>
      <c r="H12"/>
      <c r="I12"/>
      <c r="J12"/>
      <c r="K12"/>
      <c r="L12"/>
      <c r="M12"/>
    </row>
    <row r="13" spans="2:21" x14ac:dyDescent="0.25">
      <c r="B13"/>
      <c r="C13"/>
      <c r="D13"/>
      <c r="E13"/>
      <c r="F13"/>
      <c r="G13"/>
      <c r="H13"/>
      <c r="I13"/>
      <c r="J13"/>
      <c r="K13"/>
      <c r="L13"/>
      <c r="M13"/>
    </row>
    <row r="14" spans="2:21" x14ac:dyDescent="0.25">
      <c r="B14"/>
      <c r="C14"/>
      <c r="D14"/>
      <c r="E14"/>
      <c r="F14"/>
      <c r="G14"/>
      <c r="H14"/>
      <c r="I14"/>
      <c r="J14"/>
      <c r="K14"/>
      <c r="L14"/>
      <c r="M14"/>
    </row>
    <row r="15" spans="2:21" x14ac:dyDescent="0.25">
      <c r="B15"/>
      <c r="C15"/>
      <c r="D15"/>
      <c r="E15"/>
      <c r="F15"/>
      <c r="G15"/>
      <c r="H15"/>
      <c r="I15"/>
      <c r="J15"/>
      <c r="K15"/>
      <c r="L15"/>
      <c r="M15"/>
    </row>
    <row r="16" spans="2:21" x14ac:dyDescent="0.25">
      <c r="B16"/>
      <c r="C16"/>
      <c r="D16"/>
      <c r="E16"/>
      <c r="F16"/>
      <c r="G16"/>
      <c r="H16"/>
      <c r="I16"/>
      <c r="J16"/>
      <c r="K16"/>
      <c r="L16"/>
      <c r="M16"/>
    </row>
    <row r="17" spans="2:21" x14ac:dyDescent="0.25">
      <c r="B17"/>
      <c r="C17"/>
      <c r="D17"/>
      <c r="E17"/>
      <c r="F17"/>
      <c r="G17"/>
      <c r="H17"/>
      <c r="I17"/>
      <c r="J17"/>
      <c r="K17"/>
      <c r="L17"/>
      <c r="M17"/>
    </row>
    <row r="18" spans="2:21" x14ac:dyDescent="0.25">
      <c r="B18"/>
      <c r="C18"/>
      <c r="D18"/>
      <c r="E18"/>
      <c r="F18"/>
      <c r="G18"/>
      <c r="H18"/>
      <c r="I18"/>
      <c r="J18"/>
      <c r="K18"/>
      <c r="L18"/>
      <c r="M18"/>
    </row>
    <row r="19" spans="2:21" x14ac:dyDescent="0.25">
      <c r="B19"/>
      <c r="C19"/>
      <c r="D19"/>
      <c r="E19"/>
      <c r="F19"/>
      <c r="G19"/>
      <c r="H19"/>
      <c r="I19"/>
      <c r="J19"/>
      <c r="K19"/>
      <c r="L19"/>
      <c r="M19"/>
    </row>
    <row r="20" spans="2:21" x14ac:dyDescent="0.25">
      <c r="B20"/>
      <c r="C20"/>
      <c r="D20"/>
      <c r="E20"/>
      <c r="F20"/>
      <c r="G20"/>
      <c r="H20"/>
      <c r="I20"/>
      <c r="J20"/>
      <c r="K20"/>
      <c r="L20"/>
      <c r="M20"/>
    </row>
    <row r="21" spans="2:21" x14ac:dyDescent="0.25">
      <c r="B21"/>
      <c r="C21"/>
      <c r="D21"/>
      <c r="E21"/>
      <c r="F21"/>
      <c r="G21"/>
      <c r="H21"/>
      <c r="I21"/>
      <c r="J21"/>
      <c r="K21"/>
      <c r="L21"/>
      <c r="M21"/>
    </row>
    <row r="22" spans="2:21" x14ac:dyDescent="0.25">
      <c r="B22"/>
      <c r="C22"/>
      <c r="D22"/>
      <c r="E22"/>
      <c r="F22"/>
      <c r="G22"/>
      <c r="H22"/>
      <c r="I22"/>
      <c r="J22"/>
      <c r="K22"/>
      <c r="L22"/>
      <c r="M22"/>
    </row>
    <row r="23" spans="2:21" x14ac:dyDescent="0.25">
      <c r="B23"/>
      <c r="C23"/>
      <c r="D23"/>
      <c r="E23"/>
      <c r="F23"/>
      <c r="G23"/>
      <c r="H23"/>
      <c r="I23"/>
      <c r="J23"/>
      <c r="K23"/>
      <c r="L23"/>
      <c r="M23"/>
    </row>
    <row r="24" spans="2:21" x14ac:dyDescent="0.25">
      <c r="B24"/>
      <c r="C24"/>
      <c r="D24"/>
      <c r="E24"/>
      <c r="F24"/>
      <c r="G24"/>
      <c r="H24"/>
      <c r="I24"/>
      <c r="J24"/>
      <c r="K24"/>
      <c r="L24"/>
      <c r="M24"/>
    </row>
    <row r="25" spans="2:21" x14ac:dyDescent="0.25">
      <c r="B25"/>
      <c r="C25"/>
      <c r="D25"/>
      <c r="E25"/>
      <c r="F25"/>
      <c r="G25"/>
      <c r="H25"/>
      <c r="I25"/>
      <c r="J25"/>
      <c r="K25"/>
      <c r="L25"/>
      <c r="M25"/>
    </row>
    <row r="26" spans="2:21" x14ac:dyDescent="0.25">
      <c r="B26"/>
      <c r="C26"/>
      <c r="D26"/>
      <c r="E26"/>
      <c r="F26"/>
      <c r="G26"/>
      <c r="H26"/>
      <c r="I26"/>
      <c r="J26"/>
      <c r="K26"/>
      <c r="L26"/>
      <c r="M26"/>
    </row>
    <row r="27" spans="2:21" x14ac:dyDescent="0.25">
      <c r="B27"/>
      <c r="C27"/>
      <c r="D27"/>
      <c r="E27"/>
      <c r="F27"/>
      <c r="G27"/>
      <c r="H27"/>
      <c r="I27"/>
      <c r="J27"/>
      <c r="K27"/>
      <c r="L27"/>
      <c r="M27"/>
    </row>
    <row r="28" spans="2:21" x14ac:dyDescent="0.25">
      <c r="B28"/>
      <c r="C28"/>
      <c r="D28"/>
      <c r="E28"/>
      <c r="F28"/>
      <c r="G28"/>
      <c r="H28"/>
      <c r="I28"/>
      <c r="J28"/>
      <c r="K28"/>
      <c r="L28"/>
      <c r="M28"/>
    </row>
    <row r="29" spans="2:21" x14ac:dyDescent="0.25">
      <c r="B29"/>
      <c r="C29"/>
      <c r="D29"/>
      <c r="E29"/>
      <c r="F29"/>
      <c r="G29"/>
      <c r="H29"/>
      <c r="I29"/>
      <c r="J29"/>
      <c r="K29"/>
      <c r="L29"/>
      <c r="M29"/>
    </row>
    <row r="30" spans="2:21" x14ac:dyDescent="0.25">
      <c r="B30"/>
      <c r="C30"/>
      <c r="D30"/>
      <c r="E30"/>
      <c r="F30"/>
      <c r="G30"/>
      <c r="H30"/>
      <c r="I30"/>
      <c r="J30"/>
      <c r="K30"/>
      <c r="L30"/>
      <c r="M30"/>
    </row>
    <row r="31" spans="2:21" x14ac:dyDescent="0.25">
      <c r="B31"/>
      <c r="C31"/>
      <c r="D31"/>
      <c r="E31"/>
      <c r="F31"/>
      <c r="G31"/>
      <c r="H31"/>
      <c r="I31"/>
      <c r="J31"/>
      <c r="K31"/>
      <c r="L31"/>
      <c r="M31"/>
    </row>
    <row r="32" spans="2:21" s="3" customFormat="1" ht="27" customHeight="1" x14ac:dyDescent="0.25">
      <c r="B32" s="21" t="s">
        <v>8</v>
      </c>
      <c r="C32" s="21"/>
      <c r="D32" s="21"/>
      <c r="E32" s="22"/>
      <c r="F32" s="22"/>
      <c r="G32" s="22"/>
      <c r="H32" s="22"/>
      <c r="I32" s="22"/>
      <c r="J32" s="22"/>
      <c r="K32" s="22"/>
      <c r="L32" s="22"/>
      <c r="M32" s="22"/>
      <c r="N32" s="22"/>
      <c r="O32" s="22"/>
      <c r="P32" s="22"/>
      <c r="Q32" s="22"/>
      <c r="R32" s="22"/>
      <c r="S32" s="22"/>
      <c r="T32"/>
      <c r="U32"/>
    </row>
    <row r="33" spans="1:21" s="3" customFormat="1" ht="27" customHeight="1" x14ac:dyDescent="0.25">
      <c r="A33"/>
      <c r="B33" s="120"/>
      <c r="C33" s="120"/>
      <c r="D33" s="120"/>
      <c r="E33" s="120"/>
      <c r="F33" s="120"/>
      <c r="G33" s="120"/>
      <c r="H33" s="120"/>
      <c r="I33" s="120"/>
      <c r="J33" s="120"/>
      <c r="K33" s="120"/>
      <c r="L33" s="120"/>
      <c r="M33" s="120"/>
      <c r="N33" s="120"/>
      <c r="O33" s="120"/>
      <c r="P33" s="120"/>
      <c r="Q33" s="120"/>
      <c r="R33" s="120"/>
      <c r="S33"/>
      <c r="T33"/>
      <c r="U33"/>
    </row>
    <row r="34" spans="1:21" s="3" customFormat="1" ht="27" customHeight="1" x14ac:dyDescent="0.3">
      <c r="A34"/>
      <c r="B34" s="200" t="s">
        <v>326</v>
      </c>
      <c r="C34" s="201"/>
      <c r="D34" s="201"/>
      <c r="E34" s="201"/>
      <c r="F34" s="201"/>
      <c r="G34" s="201"/>
      <c r="H34" s="201"/>
      <c r="I34" s="201"/>
      <c r="J34" s="201"/>
      <c r="K34" s="201"/>
      <c r="L34" s="120"/>
      <c r="M34" s="120"/>
      <c r="N34"/>
      <c r="O34"/>
      <c r="P34"/>
      <c r="Q34"/>
      <c r="R34"/>
      <c r="S34"/>
      <c r="T34"/>
      <c r="U34"/>
    </row>
    <row r="35" spans="1:21" s="3" customFormat="1" ht="14.45" customHeight="1" x14ac:dyDescent="0.45">
      <c r="A35"/>
      <c r="B35" s="202"/>
      <c r="C35" s="221"/>
      <c r="D35" s="201"/>
      <c r="E35" s="201"/>
      <c r="F35" s="201"/>
      <c r="G35" s="201"/>
      <c r="H35" s="201"/>
      <c r="I35" s="201"/>
      <c r="J35" s="201"/>
      <c r="K35" s="201"/>
      <c r="L35" s="120"/>
      <c r="M35" s="120"/>
      <c r="N35"/>
      <c r="O35"/>
      <c r="P35"/>
      <c r="Q35"/>
      <c r="R35"/>
      <c r="S35"/>
      <c r="T35"/>
      <c r="U35"/>
    </row>
    <row r="36" spans="1:21" ht="18.75" x14ac:dyDescent="0.3">
      <c r="B36" s="200" t="s">
        <v>327</v>
      </c>
    </row>
    <row r="37" spans="1:21" ht="15.75" x14ac:dyDescent="0.25">
      <c r="B37" s="202"/>
      <c r="C37" s="202"/>
      <c r="D37" s="202"/>
      <c r="E37" s="202"/>
      <c r="F37" s="202"/>
    </row>
    <row r="38" spans="1:21" ht="15.75" x14ac:dyDescent="0.25">
      <c r="C38" s="202"/>
      <c r="D38" s="202"/>
      <c r="E38" s="202"/>
      <c r="F38" s="202"/>
    </row>
    <row r="39" spans="1:21" ht="15.75" x14ac:dyDescent="0.25">
      <c r="B39" s="202"/>
      <c r="C39" s="202"/>
      <c r="D39" s="202"/>
      <c r="E39" s="202"/>
      <c r="F39" s="202"/>
    </row>
    <row r="40" spans="1:21" ht="15.75" x14ac:dyDescent="0.25">
      <c r="B40" s="202"/>
      <c r="C40" s="202"/>
      <c r="D40" s="202"/>
      <c r="E40" s="202"/>
      <c r="F40" s="202"/>
    </row>
    <row r="41" spans="1:21" ht="15.75" hidden="1" x14ac:dyDescent="0.25">
      <c r="B41" s="202"/>
      <c r="C41" s="202"/>
      <c r="D41" s="202"/>
      <c r="E41" s="202"/>
      <c r="F41" s="202"/>
    </row>
    <row r="42" spans="1:21" x14ac:dyDescent="0.25"/>
    <row r="43" spans="1:21" x14ac:dyDescent="0.25"/>
    <row r="44" spans="1:21" x14ac:dyDescent="0.25"/>
    <row r="45" spans="1:21" x14ac:dyDescent="0.25"/>
    <row r="46" spans="1:21" x14ac:dyDescent="0.2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177"/>
  <sheetViews>
    <sheetView showGridLines="0" tabSelected="1" topLeftCell="A56" zoomScale="55" zoomScaleNormal="55" workbookViewId="0">
      <selection activeCell="E56" sqref="E56"/>
    </sheetView>
  </sheetViews>
  <sheetFormatPr defaultColWidth="0" defaultRowHeight="20.25" zeroHeight="1" x14ac:dyDescent="0.25"/>
  <cols>
    <col min="1" max="1" width="8.140625" style="3" customWidth="1"/>
    <col min="2" max="2" width="40" style="3" customWidth="1"/>
    <col min="3" max="4" width="18.85546875" style="3" customWidth="1"/>
    <col min="5" max="5" width="20.28515625" style="3" customWidth="1"/>
    <col min="6" max="6" width="21.42578125" style="3" customWidth="1"/>
    <col min="7" max="7" width="22.42578125" style="3" customWidth="1"/>
    <col min="8" max="8" width="20.140625" style="3" customWidth="1"/>
    <col min="9" max="9" width="25.42578125" style="3" customWidth="1"/>
    <col min="10" max="10" width="16.5703125" style="3" customWidth="1"/>
    <col min="11" max="11" width="17.28515625" style="3" customWidth="1"/>
    <col min="12" max="12" width="15.28515625" style="3" customWidth="1"/>
    <col min="13" max="13" width="16.42578125" style="3" customWidth="1"/>
    <col min="14" max="14" width="28.5703125" style="3" customWidth="1"/>
    <col min="15" max="15" width="22.28515625" style="3" customWidth="1"/>
    <col min="16" max="16" width="26.140625" style="3" customWidth="1"/>
    <col min="17" max="17" width="47.7109375" style="3" customWidth="1"/>
    <col min="18" max="18" width="23.7109375" style="3" customWidth="1"/>
    <col min="19" max="19" width="0.28515625" style="3" customWidth="1"/>
    <col min="20" max="20" width="15.28515625" hidden="1" customWidth="1"/>
    <col min="21" max="16384" width="9.140625" style="3" hidden="1"/>
  </cols>
  <sheetData>
    <row r="1" spans="1:21" hidden="1" x14ac:dyDescent="0.25">
      <c r="B1" s="65"/>
    </row>
    <row r="3" spans="1:21" ht="27" customHeight="1" x14ac:dyDescent="0.25">
      <c r="B3" s="21" t="s">
        <v>10</v>
      </c>
      <c r="C3" s="21"/>
      <c r="D3" s="21"/>
      <c r="E3" s="21"/>
      <c r="F3" s="22"/>
      <c r="G3" s="22"/>
      <c r="H3" s="22"/>
      <c r="I3" s="22"/>
      <c r="J3" s="22"/>
      <c r="K3" s="22"/>
      <c r="L3" s="22"/>
      <c r="M3" s="22"/>
      <c r="N3" s="22"/>
      <c r="O3" s="22"/>
      <c r="P3" s="22"/>
      <c r="Q3" s="22"/>
      <c r="R3" s="22"/>
    </row>
    <row r="4" spans="1:21" ht="23.1" customHeight="1" x14ac:dyDescent="0.25">
      <c r="B4"/>
      <c r="C4"/>
      <c r="D4"/>
      <c r="E4"/>
      <c r="F4"/>
      <c r="G4"/>
      <c r="H4"/>
      <c r="I4"/>
      <c r="J4"/>
      <c r="K4"/>
      <c r="L4"/>
      <c r="M4"/>
      <c r="N4"/>
      <c r="O4" s="23"/>
      <c r="P4"/>
      <c r="R4" s="97"/>
    </row>
    <row r="5" spans="1:21" ht="35.450000000000003" customHeight="1" x14ac:dyDescent="0.25">
      <c r="B5" s="64" t="s">
        <v>11</v>
      </c>
      <c r="C5" s="118"/>
      <c r="D5" s="103"/>
      <c r="E5" s="80" t="s">
        <v>257</v>
      </c>
      <c r="F5" s="80"/>
      <c r="G5" s="80"/>
      <c r="H5" s="80"/>
      <c r="I5" s="116"/>
      <c r="J5" s="116"/>
      <c r="K5" s="349" t="s">
        <v>256</v>
      </c>
      <c r="L5" s="350"/>
      <c r="M5" s="350"/>
      <c r="N5" s="350"/>
      <c r="O5" s="350"/>
      <c r="P5" s="350"/>
    </row>
    <row r="6" spans="1:21" ht="60" customHeight="1" x14ac:dyDescent="0.25">
      <c r="B6" s="338" t="s">
        <v>12</v>
      </c>
      <c r="C6" s="339" t="s">
        <v>261</v>
      </c>
      <c r="D6" s="339" t="s">
        <v>262</v>
      </c>
      <c r="E6" s="340" t="s">
        <v>13</v>
      </c>
      <c r="F6" s="340"/>
      <c r="G6" s="341" t="s">
        <v>252</v>
      </c>
      <c r="H6" s="341"/>
      <c r="I6" s="342" t="s">
        <v>254</v>
      </c>
      <c r="J6" s="342"/>
      <c r="K6" s="340" t="s">
        <v>13</v>
      </c>
      <c r="L6" s="340"/>
      <c r="M6" s="341" t="s">
        <v>252</v>
      </c>
      <c r="N6" s="341"/>
      <c r="O6" s="342" t="s">
        <v>254</v>
      </c>
      <c r="P6" s="342"/>
    </row>
    <row r="7" spans="1:21" ht="27.6" customHeight="1" x14ac:dyDescent="0.25">
      <c r="B7" s="338"/>
      <c r="C7" s="339"/>
      <c r="D7" s="339"/>
      <c r="E7" s="119">
        <v>2024</v>
      </c>
      <c r="F7" s="42">
        <v>2023</v>
      </c>
      <c r="G7" s="42">
        <v>2024</v>
      </c>
      <c r="H7" s="42">
        <v>2023</v>
      </c>
      <c r="I7" s="42">
        <v>2024</v>
      </c>
      <c r="J7" s="42">
        <v>2023</v>
      </c>
      <c r="K7" s="119">
        <v>2024</v>
      </c>
      <c r="L7" s="42">
        <v>2023</v>
      </c>
      <c r="M7" s="42">
        <v>2024</v>
      </c>
      <c r="N7" s="42">
        <v>2023</v>
      </c>
      <c r="O7" s="42">
        <v>2024</v>
      </c>
      <c r="P7" s="42">
        <v>2023</v>
      </c>
      <c r="R7" s="272"/>
    </row>
    <row r="8" spans="1:21" ht="27" customHeight="1" x14ac:dyDescent="0.25">
      <c r="A8" s="306"/>
      <c r="B8" s="7" t="s">
        <v>277</v>
      </c>
      <c r="C8" s="81">
        <v>642</v>
      </c>
      <c r="D8" s="82">
        <v>434</v>
      </c>
      <c r="E8" s="190">
        <v>580</v>
      </c>
      <c r="F8" s="190">
        <v>275</v>
      </c>
      <c r="G8" s="282">
        <v>66041</v>
      </c>
      <c r="H8" s="190">
        <v>29757</v>
      </c>
      <c r="I8" s="282">
        <v>54873</v>
      </c>
      <c r="J8" s="81">
        <v>30450</v>
      </c>
      <c r="K8" s="190">
        <f>580-251</f>
        <v>329</v>
      </c>
      <c r="L8" s="190">
        <v>151</v>
      </c>
      <c r="M8" s="282">
        <f>G8-28473.6572123403</f>
        <v>37567.342787659698</v>
      </c>
      <c r="N8" s="190">
        <v>15919</v>
      </c>
      <c r="O8" s="282">
        <f>I8-24527.8950820963</f>
        <v>30345.1049179037</v>
      </c>
      <c r="P8" s="81">
        <v>16987</v>
      </c>
      <c r="Q8" s="271"/>
      <c r="R8" s="271"/>
      <c r="S8" s="271"/>
      <c r="T8" s="271"/>
      <c r="U8" s="271"/>
    </row>
    <row r="9" spans="1:21" ht="27" customHeight="1" x14ac:dyDescent="0.25">
      <c r="A9" s="306"/>
      <c r="B9" s="8" t="s">
        <v>76</v>
      </c>
      <c r="C9" s="82">
        <v>1173</v>
      </c>
      <c r="D9" s="82" t="s">
        <v>9</v>
      </c>
      <c r="E9" s="169">
        <v>1396</v>
      </c>
      <c r="F9" s="169">
        <v>1075</v>
      </c>
      <c r="G9" s="283">
        <v>101123</v>
      </c>
      <c r="H9" s="169">
        <v>89530</v>
      </c>
      <c r="I9" s="283">
        <v>83253</v>
      </c>
      <c r="J9" s="82">
        <v>84085</v>
      </c>
      <c r="K9" s="169">
        <v>573</v>
      </c>
      <c r="L9" s="169">
        <v>439</v>
      </c>
      <c r="M9" s="283">
        <f>G9-59160</f>
        <v>41963</v>
      </c>
      <c r="N9" s="169">
        <v>34507</v>
      </c>
      <c r="O9" s="283">
        <f>I9-50707</f>
        <v>32546</v>
      </c>
      <c r="P9" s="82">
        <v>36431</v>
      </c>
      <c r="Q9" s="271"/>
      <c r="R9" s="271"/>
      <c r="S9" s="271"/>
      <c r="T9" s="271"/>
    </row>
    <row r="10" spans="1:21" ht="27" customHeight="1" x14ac:dyDescent="0.25">
      <c r="A10" s="306"/>
      <c r="B10" s="8" t="s">
        <v>15</v>
      </c>
      <c r="C10" s="82">
        <v>106</v>
      </c>
      <c r="D10" s="82" t="s">
        <v>9</v>
      </c>
      <c r="E10" s="169">
        <v>73</v>
      </c>
      <c r="F10" s="169" t="s">
        <v>9</v>
      </c>
      <c r="G10" s="283">
        <v>3431</v>
      </c>
      <c r="H10" s="169" t="s">
        <v>9</v>
      </c>
      <c r="I10" s="283">
        <v>1305</v>
      </c>
      <c r="J10" s="82" t="s">
        <v>9</v>
      </c>
      <c r="K10" s="169">
        <f>73-26</f>
        <v>47</v>
      </c>
      <c r="L10" s="169" t="s">
        <v>9</v>
      </c>
      <c r="M10" s="283">
        <f>G10-1230.89819610901</f>
        <v>2200.1018038909897</v>
      </c>
      <c r="N10" s="169" t="s">
        <v>9</v>
      </c>
      <c r="O10" s="283">
        <f>I10--141.804289596595</f>
        <v>1446.804289596595</v>
      </c>
      <c r="P10" s="82" t="s">
        <v>9</v>
      </c>
      <c r="Q10" s="271"/>
      <c r="R10" s="271"/>
      <c r="S10"/>
    </row>
    <row r="11" spans="1:21" ht="27" customHeight="1" x14ac:dyDescent="0.25">
      <c r="B11" s="9" t="s">
        <v>16</v>
      </c>
      <c r="C11" s="196">
        <v>1921</v>
      </c>
      <c r="D11" s="196">
        <v>434</v>
      </c>
      <c r="E11" s="192">
        <f t="shared" ref="E11:J11" si="0">SUM(E8:E10)</f>
        <v>2049</v>
      </c>
      <c r="F11" s="192">
        <f t="shared" si="0"/>
        <v>1350</v>
      </c>
      <c r="G11" s="192">
        <f t="shared" si="0"/>
        <v>170595</v>
      </c>
      <c r="H11" s="192">
        <f t="shared" si="0"/>
        <v>119287</v>
      </c>
      <c r="I11" s="192">
        <f t="shared" si="0"/>
        <v>139431</v>
      </c>
      <c r="J11" s="196">
        <f t="shared" si="0"/>
        <v>114535</v>
      </c>
      <c r="K11" s="192">
        <f t="shared" ref="K11:P11" si="1">SUM(K8:K10)</f>
        <v>949</v>
      </c>
      <c r="L11" s="192">
        <f t="shared" si="1"/>
        <v>590</v>
      </c>
      <c r="M11" s="192">
        <f t="shared" si="1"/>
        <v>81730.44459155068</v>
      </c>
      <c r="N11" s="192">
        <f t="shared" si="1"/>
        <v>50426</v>
      </c>
      <c r="O11" s="192">
        <f t="shared" si="1"/>
        <v>64337.909207500292</v>
      </c>
      <c r="P11" s="196">
        <f t="shared" si="1"/>
        <v>53418</v>
      </c>
      <c r="Q11" s="273"/>
      <c r="R11"/>
    </row>
    <row r="12" spans="1:21" ht="27" customHeight="1" x14ac:dyDescent="0.25">
      <c r="B12" s="8" t="s">
        <v>17</v>
      </c>
      <c r="C12" s="82">
        <v>9</v>
      </c>
      <c r="D12" s="82" t="s">
        <v>9</v>
      </c>
      <c r="E12" s="147"/>
      <c r="F12" s="147"/>
      <c r="G12" s="147"/>
      <c r="H12" s="169"/>
      <c r="I12" s="147"/>
      <c r="J12" s="197"/>
      <c r="K12" s="147"/>
      <c r="L12" s="147"/>
      <c r="M12" s="147"/>
      <c r="N12" s="169"/>
      <c r="O12" s="147"/>
      <c r="P12" s="197"/>
      <c r="Q12" s="273"/>
      <c r="R12"/>
    </row>
    <row r="13" spans="1:21" ht="27" customHeight="1" x14ac:dyDescent="0.25">
      <c r="B13" s="10" t="s">
        <v>18</v>
      </c>
      <c r="C13" s="199">
        <v>1930</v>
      </c>
      <c r="D13" s="199">
        <v>434</v>
      </c>
      <c r="E13" s="198">
        <v>2049</v>
      </c>
      <c r="F13" s="198">
        <v>1350</v>
      </c>
      <c r="G13" s="198">
        <f>G11</f>
        <v>170595</v>
      </c>
      <c r="H13" s="198">
        <f t="shared" ref="H13:I13" si="2">H11</f>
        <v>119287</v>
      </c>
      <c r="I13" s="198">
        <f t="shared" si="2"/>
        <v>139431</v>
      </c>
      <c r="J13" s="199">
        <f>J11</f>
        <v>114535</v>
      </c>
      <c r="K13" s="198">
        <f>K11</f>
        <v>949</v>
      </c>
      <c r="L13" s="198">
        <f>L11</f>
        <v>590</v>
      </c>
      <c r="M13" s="198">
        <f t="shared" ref="M13:O13" si="3">M11</f>
        <v>81730.44459155068</v>
      </c>
      <c r="N13" s="198">
        <f t="shared" si="3"/>
        <v>50426</v>
      </c>
      <c r="O13" s="198">
        <f t="shared" si="3"/>
        <v>64337.909207500292</v>
      </c>
      <c r="P13" s="199">
        <f>P11</f>
        <v>53418</v>
      </c>
      <c r="Q13"/>
      <c r="R13"/>
    </row>
    <row r="14" spans="1:21" ht="27" customHeight="1" x14ac:dyDescent="0.25">
      <c r="B14"/>
      <c r="C14"/>
      <c r="D14"/>
      <c r="E14"/>
      <c r="F14"/>
      <c r="G14"/>
      <c r="H14" s="90"/>
      <c r="I14"/>
      <c r="J14"/>
      <c r="K14" s="91"/>
      <c r="L14"/>
      <c r="M14"/>
      <c r="N14"/>
      <c r="O14"/>
      <c r="P14"/>
      <c r="Q14"/>
    </row>
    <row r="15" spans="1:21" ht="27" customHeight="1" x14ac:dyDescent="0.25">
      <c r="B15" s="79" t="s">
        <v>358</v>
      </c>
      <c r="C15" s="11"/>
      <c r="D15" s="11"/>
      <c r="E15" s="11"/>
      <c r="F15" s="11"/>
      <c r="G15" s="12"/>
      <c r="H15" s="12"/>
      <c r="I15" s="12"/>
      <c r="J15" s="81">
        <v>139431</v>
      </c>
      <c r="K15" s="90"/>
      <c r="L15"/>
      <c r="M15"/>
      <c r="N15"/>
      <c r="O15"/>
      <c r="P15"/>
      <c r="Q15"/>
    </row>
    <row r="16" spans="1:21" ht="27" customHeight="1" x14ac:dyDescent="0.25">
      <c r="B16" s="13" t="s">
        <v>246</v>
      </c>
      <c r="C16" s="14"/>
      <c r="D16" s="14"/>
      <c r="E16" s="59"/>
      <c r="F16" s="59"/>
      <c r="G16" s="59"/>
      <c r="H16" s="59"/>
      <c r="I16" s="59"/>
      <c r="J16" s="207">
        <v>1804.4692737430169</v>
      </c>
      <c r="K16"/>
      <c r="L16"/>
      <c r="M16"/>
      <c r="N16"/>
      <c r="O16"/>
      <c r="P16"/>
      <c r="Q16"/>
    </row>
    <row r="17" spans="1:18" ht="27" customHeight="1" x14ac:dyDescent="0.25">
      <c r="B17" s="60" t="s">
        <v>19</v>
      </c>
      <c r="C17" s="11"/>
      <c r="D17" s="11"/>
      <c r="E17" s="11"/>
      <c r="F17" s="11"/>
      <c r="G17" s="11"/>
      <c r="H17" s="11"/>
      <c r="I17" s="11"/>
      <c r="J17" s="92">
        <v>275253.06145251397</v>
      </c>
      <c r="K17"/>
      <c r="L17"/>
      <c r="M17"/>
      <c r="N17"/>
      <c r="O17"/>
      <c r="P17"/>
      <c r="Q17"/>
    </row>
    <row r="18" spans="1:18" ht="27" customHeight="1" x14ac:dyDescent="0.25">
      <c r="A18"/>
      <c r="B18" s="13" t="s">
        <v>247</v>
      </c>
      <c r="C18" s="14"/>
      <c r="D18" s="14"/>
      <c r="E18" s="14"/>
      <c r="F18" s="14"/>
      <c r="G18" s="14"/>
      <c r="H18" s="14"/>
      <c r="I18" s="14"/>
      <c r="J18" s="82">
        <v>2670943.7040671417</v>
      </c>
      <c r="K18"/>
      <c r="L18"/>
      <c r="M18"/>
      <c r="N18"/>
      <c r="O18"/>
      <c r="P18"/>
      <c r="Q18"/>
    </row>
    <row r="19" spans="1:18" ht="27" customHeight="1" x14ac:dyDescent="0.25">
      <c r="B19" s="15" t="s">
        <v>20</v>
      </c>
      <c r="C19" s="16"/>
      <c r="D19" s="16"/>
      <c r="E19" s="17"/>
      <c r="F19" s="17"/>
      <c r="G19" s="17"/>
      <c r="H19" s="17"/>
      <c r="I19" s="17"/>
      <c r="J19" s="83">
        <f>J17/J18</f>
        <v>0.10305460988690113</v>
      </c>
      <c r="M19"/>
      <c r="N19"/>
      <c r="O19"/>
      <c r="P19"/>
      <c r="Q19"/>
    </row>
    <row r="20" spans="1:18" ht="27" customHeight="1" x14ac:dyDescent="0.25">
      <c r="B20"/>
      <c r="C20"/>
      <c r="D20"/>
      <c r="E20"/>
      <c r="F20"/>
      <c r="G20"/>
      <c r="H20"/>
      <c r="I20"/>
      <c r="J20"/>
      <c r="K20"/>
      <c r="L20" s="90"/>
      <c r="M20" s="90"/>
      <c r="N20"/>
      <c r="O20" s="18"/>
      <c r="P20" s="77"/>
    </row>
    <row r="21" spans="1:18" ht="27" customHeight="1" x14ac:dyDescent="0.25">
      <c r="B21"/>
      <c r="C21"/>
      <c r="D21"/>
      <c r="E21"/>
      <c r="F21"/>
      <c r="G21"/>
      <c r="H21"/>
      <c r="I21"/>
      <c r="J21"/>
      <c r="K21"/>
      <c r="L21"/>
      <c r="M21"/>
      <c r="N21"/>
      <c r="O21" s="18"/>
      <c r="P21"/>
    </row>
    <row r="22" spans="1:18" ht="27" customHeight="1" x14ac:dyDescent="0.25">
      <c r="B22" s="21" t="s">
        <v>21</v>
      </c>
      <c r="C22" s="21"/>
      <c r="D22" s="21"/>
      <c r="E22" s="21"/>
      <c r="F22" s="22"/>
      <c r="G22" s="22"/>
      <c r="H22" s="22"/>
      <c r="I22" s="22"/>
      <c r="J22" s="22"/>
      <c r="K22" s="22"/>
      <c r="L22" s="22"/>
      <c r="M22" s="22"/>
      <c r="N22" s="22"/>
      <c r="O22" s="22"/>
      <c r="P22" s="22"/>
      <c r="Q22" s="22"/>
      <c r="R22" s="22"/>
    </row>
    <row r="23" spans="1:18" customFormat="1" ht="27" customHeight="1" x14ac:dyDescent="0.25"/>
    <row r="24" spans="1:18" ht="27" customHeight="1" x14ac:dyDescent="0.25">
      <c r="B24" s="64" t="s">
        <v>11</v>
      </c>
      <c r="C24" s="339" t="s">
        <v>22</v>
      </c>
      <c r="D24" s="343" t="s">
        <v>238</v>
      </c>
      <c r="E24" s="343" t="s">
        <v>239</v>
      </c>
      <c r="F24" s="344" t="s">
        <v>259</v>
      </c>
      <c r="G24" s="345"/>
      <c r="H24" s="344" t="s">
        <v>258</v>
      </c>
      <c r="I24" s="345"/>
      <c r="J24" s="1"/>
      <c r="K24" s="1"/>
      <c r="M24"/>
      <c r="N24"/>
      <c r="O24" s="18"/>
      <c r="P24" s="77"/>
    </row>
    <row r="25" spans="1:18" ht="75.95" customHeight="1" x14ac:dyDescent="0.25">
      <c r="B25" s="89" t="s">
        <v>23</v>
      </c>
      <c r="C25" s="339"/>
      <c r="D25" s="339"/>
      <c r="E25" s="339"/>
      <c r="F25" s="119" t="s">
        <v>252</v>
      </c>
      <c r="G25" s="42" t="s">
        <v>253</v>
      </c>
      <c r="H25" s="119" t="s">
        <v>252</v>
      </c>
      <c r="I25" s="42" t="s">
        <v>253</v>
      </c>
      <c r="J25" s="119" t="s">
        <v>260</v>
      </c>
      <c r="K25" s="42" t="s">
        <v>52</v>
      </c>
      <c r="L25"/>
      <c r="M25"/>
      <c r="N25"/>
      <c r="O25" s="18"/>
      <c r="P25" s="77"/>
    </row>
    <row r="26" spans="1:18" ht="27" customHeight="1" x14ac:dyDescent="0.25">
      <c r="B26" s="13" t="s">
        <v>286</v>
      </c>
      <c r="C26" s="147" t="s">
        <v>277</v>
      </c>
      <c r="D26" s="169">
        <v>316</v>
      </c>
      <c r="E26" s="169" t="s">
        <v>9</v>
      </c>
      <c r="F26" s="138">
        <v>32396.059724877574</v>
      </c>
      <c r="G26" s="43"/>
      <c r="H26" s="138">
        <v>16701.93442078244</v>
      </c>
      <c r="I26" s="43"/>
      <c r="J26" s="138">
        <v>449895.77926159743</v>
      </c>
      <c r="K26" s="215">
        <v>0.49</v>
      </c>
      <c r="L26"/>
      <c r="M26" s="90"/>
      <c r="N26" s="90"/>
      <c r="O26" s="18"/>
      <c r="P26" s="77"/>
    </row>
    <row r="27" spans="1:18" ht="27" customHeight="1" x14ac:dyDescent="0.25">
      <c r="B27" s="13" t="s">
        <v>285</v>
      </c>
      <c r="C27" s="147" t="s">
        <v>277</v>
      </c>
      <c r="D27" s="169">
        <v>326</v>
      </c>
      <c r="E27" s="169">
        <v>434</v>
      </c>
      <c r="F27" s="138">
        <v>33644.816630645953</v>
      </c>
      <c r="G27" s="43"/>
      <c r="H27" s="138">
        <v>20865.284722400815</v>
      </c>
      <c r="I27" s="43"/>
      <c r="J27" s="138">
        <v>469434.84573764086</v>
      </c>
      <c r="K27" s="215">
        <v>0.84</v>
      </c>
      <c r="L27"/>
      <c r="M27"/>
      <c r="N27"/>
      <c r="O27" s="18"/>
      <c r="P27" s="77"/>
    </row>
    <row r="28" spans="1:18" ht="27" customHeight="1" x14ac:dyDescent="0.25">
      <c r="B28" s="60" t="s">
        <v>287</v>
      </c>
      <c r="C28" s="191"/>
      <c r="D28" s="192">
        <v>642</v>
      </c>
      <c r="E28" s="192">
        <v>434</v>
      </c>
      <c r="F28" s="204">
        <v>66041</v>
      </c>
      <c r="G28" s="51">
        <v>54873</v>
      </c>
      <c r="H28" s="204">
        <v>37567</v>
      </c>
      <c r="I28" s="51">
        <v>30345.1049179037</v>
      </c>
      <c r="J28" s="204">
        <v>919331</v>
      </c>
      <c r="K28" s="216"/>
      <c r="L28"/>
      <c r="M28"/>
      <c r="N28"/>
      <c r="O28" s="18"/>
      <c r="P28" s="77"/>
    </row>
    <row r="29" spans="1:18" ht="27" customHeight="1" x14ac:dyDescent="0.25">
      <c r="B29" s="13" t="s">
        <v>278</v>
      </c>
      <c r="C29" s="147" t="s">
        <v>76</v>
      </c>
      <c r="D29" s="169">
        <v>1090</v>
      </c>
      <c r="E29" s="169" t="s">
        <v>9</v>
      </c>
      <c r="F29" s="138">
        <v>95355.81881385282</v>
      </c>
      <c r="G29" s="43"/>
      <c r="H29" s="138">
        <v>38093.841905857349</v>
      </c>
      <c r="I29" s="43"/>
      <c r="J29" s="138">
        <v>663813.89940567431</v>
      </c>
      <c r="K29" s="215">
        <v>0.60934113918234012</v>
      </c>
      <c r="L29"/>
      <c r="M29" s="90"/>
      <c r="N29"/>
      <c r="O29" s="18"/>
      <c r="P29" s="77"/>
    </row>
    <row r="30" spans="1:18" ht="27" customHeight="1" x14ac:dyDescent="0.25">
      <c r="B30" s="13" t="s">
        <v>279</v>
      </c>
      <c r="C30" s="147" t="s">
        <v>76</v>
      </c>
      <c r="D30" s="169">
        <v>83</v>
      </c>
      <c r="E30" s="169" t="s">
        <v>9</v>
      </c>
      <c r="F30" s="138">
        <v>5766.8981293096003</v>
      </c>
      <c r="G30" s="43"/>
      <c r="H30" s="138">
        <v>3868.82585970424</v>
      </c>
      <c r="I30" s="43"/>
      <c r="J30" s="138">
        <v>43778.059219224539</v>
      </c>
      <c r="K30" s="215">
        <v>0.60576719222134023</v>
      </c>
      <c r="L30"/>
      <c r="M30"/>
      <c r="N30"/>
      <c r="O30" s="269"/>
      <c r="P30" s="77"/>
    </row>
    <row r="31" spans="1:18" ht="27" customHeight="1" x14ac:dyDescent="0.25">
      <c r="B31" s="60" t="s">
        <v>280</v>
      </c>
      <c r="C31" s="191"/>
      <c r="D31" s="192">
        <v>1173</v>
      </c>
      <c r="E31" s="192" t="s">
        <v>9</v>
      </c>
      <c r="F31" s="204">
        <v>101123</v>
      </c>
      <c r="G31" s="51">
        <v>83253</v>
      </c>
      <c r="H31" s="204">
        <v>41963</v>
      </c>
      <c r="I31" s="51">
        <v>32546</v>
      </c>
      <c r="J31" s="204">
        <v>707592</v>
      </c>
      <c r="K31" s="216"/>
      <c r="L31"/>
      <c r="M31"/>
      <c r="N31"/>
      <c r="O31" s="18"/>
      <c r="P31" s="77"/>
    </row>
    <row r="32" spans="1:18" ht="27" customHeight="1" x14ac:dyDescent="0.25">
      <c r="B32" s="13" t="s">
        <v>281</v>
      </c>
      <c r="C32" s="147" t="s">
        <v>15</v>
      </c>
      <c r="D32" s="169">
        <v>106</v>
      </c>
      <c r="E32" s="169" t="s">
        <v>9</v>
      </c>
      <c r="F32" s="138">
        <v>3431</v>
      </c>
      <c r="G32" s="43"/>
      <c r="H32" s="138">
        <v>2200</v>
      </c>
      <c r="I32" s="43"/>
      <c r="J32" s="138" t="s">
        <v>9</v>
      </c>
      <c r="K32" s="215">
        <v>1</v>
      </c>
      <c r="L32"/>
      <c r="M32"/>
      <c r="N32"/>
      <c r="O32" s="18"/>
      <c r="P32" s="77"/>
    </row>
    <row r="33" spans="2:21" ht="27" customHeight="1" x14ac:dyDescent="0.25">
      <c r="B33" s="60" t="s">
        <v>39</v>
      </c>
      <c r="C33" s="191"/>
      <c r="D33" s="192">
        <v>106</v>
      </c>
      <c r="E33" s="192" t="s">
        <v>9</v>
      </c>
      <c r="F33" s="204">
        <v>3431</v>
      </c>
      <c r="G33" s="51">
        <v>1305</v>
      </c>
      <c r="H33" s="204">
        <v>2200</v>
      </c>
      <c r="I33" s="51">
        <v>1446.804289596595</v>
      </c>
      <c r="J33" s="204" t="s">
        <v>9</v>
      </c>
      <c r="K33" s="216"/>
      <c r="L33"/>
      <c r="M33"/>
      <c r="N33"/>
      <c r="O33" s="18"/>
      <c r="P33" s="77"/>
    </row>
    <row r="34" spans="2:21" ht="27" customHeight="1" x14ac:dyDescent="0.25">
      <c r="B34" s="60" t="s">
        <v>16</v>
      </c>
      <c r="C34" s="12"/>
      <c r="D34" s="192">
        <v>1921</v>
      </c>
      <c r="E34" s="192">
        <v>434</v>
      </c>
      <c r="F34" s="204">
        <v>170595</v>
      </c>
      <c r="G34" s="51">
        <v>139431</v>
      </c>
      <c r="H34" s="204">
        <v>81730</v>
      </c>
      <c r="I34" s="51">
        <v>64338</v>
      </c>
      <c r="J34" s="204">
        <v>1626923</v>
      </c>
      <c r="K34" s="217"/>
      <c r="L34" s="90"/>
      <c r="M34"/>
      <c r="N34"/>
      <c r="O34" s="18"/>
      <c r="P34" s="77"/>
    </row>
    <row r="35" spans="2:21" ht="27" customHeight="1" x14ac:dyDescent="0.25">
      <c r="B35" s="193" t="s">
        <v>17</v>
      </c>
      <c r="C35" s="147" t="s">
        <v>40</v>
      </c>
      <c r="D35" s="169">
        <v>9</v>
      </c>
      <c r="E35" s="169" t="s">
        <v>9</v>
      </c>
      <c r="F35" s="205"/>
      <c r="G35" s="43"/>
      <c r="H35" s="138"/>
      <c r="I35" s="43"/>
      <c r="J35" s="205"/>
      <c r="K35" s="215">
        <v>0.5</v>
      </c>
      <c r="L35"/>
      <c r="M35"/>
      <c r="N35"/>
      <c r="O35" s="18"/>
      <c r="P35" s="77"/>
    </row>
    <row r="36" spans="2:21" ht="27" customHeight="1" x14ac:dyDescent="0.25">
      <c r="B36" s="187" t="s">
        <v>18</v>
      </c>
      <c r="C36" s="194"/>
      <c r="D36" s="195">
        <v>1930</v>
      </c>
      <c r="E36" s="195">
        <v>434</v>
      </c>
      <c r="F36" s="121">
        <v>170595</v>
      </c>
      <c r="G36" s="206">
        <v>139431</v>
      </c>
      <c r="H36" s="121">
        <v>81730</v>
      </c>
      <c r="I36" s="206">
        <v>64338</v>
      </c>
      <c r="J36" s="121">
        <v>1626923</v>
      </c>
      <c r="K36" s="218"/>
      <c r="L36"/>
      <c r="M36"/>
      <c r="N36"/>
      <c r="O36" s="18"/>
      <c r="P36" s="77"/>
    </row>
    <row r="37" spans="2:21" ht="39.75" customHeight="1" x14ac:dyDescent="0.25">
      <c r="J37"/>
      <c r="M37" s="18"/>
      <c r="N37" s="77"/>
      <c r="R37"/>
      <c r="T37" s="3"/>
    </row>
    <row r="38" spans="2:21" ht="39.75" customHeight="1" x14ac:dyDescent="0.25">
      <c r="B38" s="64" t="s">
        <v>288</v>
      </c>
      <c r="C38" s="293"/>
      <c r="D38" s="294"/>
      <c r="E38" s="294"/>
      <c r="F38" s="295"/>
      <c r="G38" s="296"/>
      <c r="H38" s="296"/>
      <c r="I38" s="297"/>
      <c r="J38"/>
      <c r="M38" s="18"/>
      <c r="N38" s="77"/>
      <c r="R38"/>
      <c r="T38" s="3"/>
    </row>
    <row r="39" spans="2:21" ht="39.75" customHeight="1" x14ac:dyDescent="0.25">
      <c r="B39" s="298" t="s">
        <v>289</v>
      </c>
      <c r="C39" s="5" t="s">
        <v>22</v>
      </c>
      <c r="D39" s="5" t="s">
        <v>290</v>
      </c>
      <c r="E39" s="299" t="s">
        <v>291</v>
      </c>
      <c r="F39" s="300" t="s">
        <v>41</v>
      </c>
      <c r="G39" s="300" t="s">
        <v>237</v>
      </c>
      <c r="H39" s="301" t="s">
        <v>265</v>
      </c>
      <c r="I39" s="301" t="s">
        <v>24</v>
      </c>
      <c r="J39"/>
      <c r="M39" s="18"/>
      <c r="N39" s="77"/>
      <c r="R39"/>
      <c r="T39" s="3"/>
    </row>
    <row r="40" spans="2:21" ht="39.75" customHeight="1" x14ac:dyDescent="0.25">
      <c r="B40" s="13" t="s">
        <v>56</v>
      </c>
      <c r="C40" s="147" t="s">
        <v>76</v>
      </c>
      <c r="D40" s="169">
        <v>60</v>
      </c>
      <c r="E40" s="169" t="s">
        <v>9</v>
      </c>
      <c r="F40" s="149">
        <v>6</v>
      </c>
      <c r="G40" s="305">
        <v>5</v>
      </c>
      <c r="H40" s="169">
        <v>23</v>
      </c>
      <c r="I40" s="302">
        <v>1</v>
      </c>
      <c r="J40"/>
      <c r="M40" s="18"/>
      <c r="N40" s="77"/>
      <c r="O40" s="68"/>
      <c r="R40"/>
      <c r="T40" s="3"/>
    </row>
    <row r="41" spans="2:21" ht="39.75" customHeight="1" x14ac:dyDescent="0.25">
      <c r="B41" s="15" t="s">
        <v>18</v>
      </c>
      <c r="C41" s="303"/>
      <c r="D41" s="198">
        <f>SUM(D40:D40)</f>
        <v>60</v>
      </c>
      <c r="E41" s="198" t="s">
        <v>9</v>
      </c>
      <c r="F41" s="164">
        <f>SUM(F40:F40)</f>
        <v>6</v>
      </c>
      <c r="G41" s="195">
        <f>SUM(G40:G40)</f>
        <v>5</v>
      </c>
      <c r="H41" s="198">
        <v>23</v>
      </c>
      <c r="I41" s="304"/>
      <c r="J41"/>
      <c r="M41" s="18"/>
      <c r="N41" s="77"/>
      <c r="R41"/>
      <c r="T41" s="3"/>
    </row>
    <row r="42" spans="2:21" ht="29.1" customHeight="1" x14ac:dyDescent="0.25">
      <c r="J42"/>
      <c r="M42" s="18"/>
      <c r="N42" s="77"/>
      <c r="R42"/>
      <c r="T42" s="3"/>
    </row>
    <row r="43" spans="2:21" ht="39.75" customHeight="1" x14ac:dyDescent="0.25">
      <c r="B43" s="335" t="s">
        <v>319</v>
      </c>
      <c r="C43" s="335"/>
      <c r="D43" s="335"/>
      <c r="E43" s="335"/>
      <c r="F43" s="335"/>
      <c r="G43" s="335"/>
      <c r="H43" s="335"/>
      <c r="I43" s="335"/>
      <c r="J43" s="335"/>
      <c r="K43" s="335"/>
      <c r="L43" s="335"/>
      <c r="M43" s="335"/>
      <c r="N43" s="77"/>
      <c r="R43"/>
      <c r="T43" s="3"/>
    </row>
    <row r="44" spans="2:21" ht="39.75" customHeight="1" x14ac:dyDescent="0.25">
      <c r="B44" s="335" t="s">
        <v>371</v>
      </c>
      <c r="C44" s="335"/>
      <c r="D44" s="335"/>
      <c r="E44" s="335"/>
      <c r="F44" s="335"/>
      <c r="G44" s="335"/>
      <c r="H44" s="335"/>
      <c r="I44" s="335"/>
      <c r="J44" s="335"/>
      <c r="K44" s="335"/>
      <c r="L44" s="335"/>
      <c r="M44" s="335"/>
      <c r="N44" s="77"/>
      <c r="O44" s="68"/>
      <c r="R44"/>
      <c r="T44" s="3"/>
    </row>
    <row r="45" spans="2:21" x14ac:dyDescent="0.25">
      <c r="B45" s="68"/>
      <c r="I45" s="93"/>
      <c r="J45" s="93"/>
      <c r="N45" s="24"/>
      <c r="O45" s="24"/>
    </row>
    <row r="46" spans="2:21" ht="27" customHeight="1" x14ac:dyDescent="0.25">
      <c r="B46" s="21" t="s">
        <v>42</v>
      </c>
      <c r="C46" s="21"/>
      <c r="D46" s="21"/>
      <c r="E46" s="21"/>
      <c r="F46" s="22"/>
      <c r="G46" s="22"/>
      <c r="H46" s="22"/>
      <c r="I46" s="22"/>
      <c r="J46" s="22"/>
      <c r="K46" s="22"/>
      <c r="L46" s="22"/>
      <c r="M46" s="22"/>
      <c r="N46" s="22"/>
      <c r="O46" s="22"/>
      <c r="P46" s="22"/>
      <c r="Q46" s="22"/>
      <c r="R46" s="22"/>
      <c r="S46"/>
    </row>
    <row r="47" spans="2:21" ht="23.1" customHeight="1" x14ac:dyDescent="0.25">
      <c r="T47" s="3"/>
      <c r="U47"/>
    </row>
    <row r="48" spans="2:21" ht="80.25" customHeight="1" x14ac:dyDescent="0.25">
      <c r="B48" s="107" t="s">
        <v>43</v>
      </c>
      <c r="C48" s="2" t="s">
        <v>44</v>
      </c>
      <c r="D48" s="2" t="s">
        <v>45</v>
      </c>
      <c r="E48" s="2" t="s">
        <v>46</v>
      </c>
      <c r="F48" s="2" t="s">
        <v>47</v>
      </c>
      <c r="G48" s="104" t="s">
        <v>48</v>
      </c>
      <c r="H48" s="2" t="s">
        <v>49</v>
      </c>
      <c r="I48" s="2" t="s">
        <v>263</v>
      </c>
      <c r="J48" s="5" t="s">
        <v>50</v>
      </c>
      <c r="K48" s="2" t="s">
        <v>264</v>
      </c>
      <c r="L48" s="5" t="s">
        <v>51</v>
      </c>
      <c r="M48" s="2" t="s">
        <v>265</v>
      </c>
      <c r="N48" s="2" t="s">
        <v>41</v>
      </c>
      <c r="O48" s="2" t="s">
        <v>332</v>
      </c>
      <c r="P48" s="104" t="s">
        <v>372</v>
      </c>
      <c r="Q48" s="104" t="s">
        <v>53</v>
      </c>
      <c r="R48" s="84"/>
      <c r="S48" s="31"/>
      <c r="T48" s="84"/>
      <c r="U48"/>
    </row>
    <row r="49" spans="1:21" ht="34.5" customHeight="1" x14ac:dyDescent="0.25">
      <c r="B49" s="13" t="s">
        <v>348</v>
      </c>
      <c r="C49" s="168" t="s">
        <v>54</v>
      </c>
      <c r="D49" s="169">
        <v>364</v>
      </c>
      <c r="E49" s="169" t="s">
        <v>9</v>
      </c>
      <c r="F49" s="176" t="s">
        <v>176</v>
      </c>
      <c r="G49" s="180" t="s">
        <v>292</v>
      </c>
      <c r="H49" s="148" t="s">
        <v>241</v>
      </c>
      <c r="I49" s="148">
        <v>359</v>
      </c>
      <c r="J49" s="151">
        <v>0.17615176151761516</v>
      </c>
      <c r="K49" s="148" t="s">
        <v>375</v>
      </c>
      <c r="L49" s="150">
        <v>0.53658536585365857</v>
      </c>
      <c r="M49" s="148">
        <v>259</v>
      </c>
      <c r="N49" s="177" t="s">
        <v>336</v>
      </c>
      <c r="O49" s="178" t="s">
        <v>337</v>
      </c>
      <c r="P49" s="153">
        <v>1</v>
      </c>
      <c r="Q49" s="115" t="s">
        <v>232</v>
      </c>
      <c r="R49" s="26"/>
      <c r="T49" s="26"/>
      <c r="U49"/>
    </row>
    <row r="50" spans="1:21" ht="34.5" customHeight="1" x14ac:dyDescent="0.25">
      <c r="B50" s="13" t="s">
        <v>177</v>
      </c>
      <c r="C50" s="168" t="s">
        <v>54</v>
      </c>
      <c r="D50" s="169" t="s">
        <v>9</v>
      </c>
      <c r="E50" s="169">
        <v>1200</v>
      </c>
      <c r="F50" s="176" t="s">
        <v>178</v>
      </c>
      <c r="G50" s="180" t="s">
        <v>350</v>
      </c>
      <c r="H50" s="148" t="s">
        <v>293</v>
      </c>
      <c r="I50" s="148">
        <v>275</v>
      </c>
      <c r="J50" s="151">
        <v>0.11</v>
      </c>
      <c r="K50" s="148" t="s">
        <v>373</v>
      </c>
      <c r="L50" s="150">
        <v>0.48</v>
      </c>
      <c r="M50" s="148" t="s">
        <v>9</v>
      </c>
      <c r="N50" s="177" t="s">
        <v>242</v>
      </c>
      <c r="O50" s="178" t="s">
        <v>230</v>
      </c>
      <c r="P50" s="153">
        <v>1</v>
      </c>
      <c r="Q50" s="115" t="s">
        <v>233</v>
      </c>
      <c r="R50" s="26"/>
      <c r="T50" s="26"/>
      <c r="U50"/>
    </row>
    <row r="51" spans="1:21" ht="35.1" customHeight="1" x14ac:dyDescent="0.25">
      <c r="A51"/>
      <c r="B51" s="13" t="s">
        <v>251</v>
      </c>
      <c r="C51" s="168" t="s">
        <v>25</v>
      </c>
      <c r="D51" s="169">
        <v>58</v>
      </c>
      <c r="E51" s="169">
        <v>160</v>
      </c>
      <c r="F51" s="147">
        <v>2024</v>
      </c>
      <c r="G51" s="180" t="s">
        <v>243</v>
      </c>
      <c r="H51" s="148" t="s">
        <v>243</v>
      </c>
      <c r="I51" s="148">
        <v>71</v>
      </c>
      <c r="J51" s="151" t="s">
        <v>334</v>
      </c>
      <c r="K51" s="148">
        <v>27</v>
      </c>
      <c r="L51" s="147" t="s">
        <v>55</v>
      </c>
      <c r="M51" s="308">
        <v>44</v>
      </c>
      <c r="N51" s="181" t="s">
        <v>296</v>
      </c>
      <c r="O51" s="267" t="s">
        <v>297</v>
      </c>
      <c r="P51" s="309">
        <v>0.65129999999999999</v>
      </c>
      <c r="Q51" s="334" t="s">
        <v>245</v>
      </c>
      <c r="R51" s="335"/>
      <c r="S51" s="335"/>
      <c r="T51" s="3"/>
      <c r="U51"/>
    </row>
    <row r="52" spans="1:21" ht="35.1" customHeight="1" x14ac:dyDescent="0.25">
      <c r="B52" s="13" t="s">
        <v>58</v>
      </c>
      <c r="C52" s="168" t="s">
        <v>59</v>
      </c>
      <c r="D52" s="148">
        <v>94</v>
      </c>
      <c r="E52" s="169" t="s">
        <v>9</v>
      </c>
      <c r="F52" s="147" t="s">
        <v>60</v>
      </c>
      <c r="G52" s="149" t="s">
        <v>294</v>
      </c>
      <c r="H52" s="148" t="s">
        <v>294</v>
      </c>
      <c r="I52" s="308">
        <v>84.2</v>
      </c>
      <c r="J52" s="314">
        <v>0.4</v>
      </c>
      <c r="K52" s="308">
        <v>50.7</v>
      </c>
      <c r="L52" s="147" t="s">
        <v>55</v>
      </c>
      <c r="M52" s="148">
        <v>33</v>
      </c>
      <c r="N52" s="148" t="s">
        <v>61</v>
      </c>
      <c r="O52" s="182" t="s">
        <v>236</v>
      </c>
      <c r="P52" s="162">
        <v>1</v>
      </c>
      <c r="Q52" s="336"/>
      <c r="R52" s="337"/>
      <c r="S52" s="337"/>
      <c r="U52"/>
    </row>
    <row r="53" spans="1:21" ht="35.1" customHeight="1" x14ac:dyDescent="0.25">
      <c r="B53" s="155" t="s">
        <v>16</v>
      </c>
      <c r="C53" s="183"/>
      <c r="D53" s="86">
        <f>SUM(D49:D52)</f>
        <v>516</v>
      </c>
      <c r="E53" s="86">
        <f>SUM(E49:E52)</f>
        <v>1360</v>
      </c>
      <c r="F53" s="86"/>
      <c r="G53" s="311" t="s">
        <v>322</v>
      </c>
      <c r="H53" s="313" t="s">
        <v>324</v>
      </c>
      <c r="I53" s="313">
        <v>789</v>
      </c>
      <c r="J53" s="313"/>
      <c r="K53" s="313">
        <v>453</v>
      </c>
      <c r="L53" s="313"/>
      <c r="M53" s="313">
        <v>336</v>
      </c>
      <c r="N53" s="313" t="s">
        <v>338</v>
      </c>
      <c r="O53" s="313" t="s">
        <v>339</v>
      </c>
      <c r="P53" s="94"/>
      <c r="Q53"/>
      <c r="R53"/>
      <c r="U53"/>
    </row>
    <row r="54" spans="1:21" ht="25.5" customHeight="1" x14ac:dyDescent="0.25">
      <c r="B54" s="146" t="s">
        <v>17</v>
      </c>
      <c r="C54" s="168" t="s">
        <v>25</v>
      </c>
      <c r="D54" s="184">
        <v>19</v>
      </c>
      <c r="E54" s="184">
        <v>86.65</v>
      </c>
      <c r="F54" s="310" t="s">
        <v>321</v>
      </c>
      <c r="G54" s="180" t="s">
        <v>295</v>
      </c>
      <c r="H54" s="308" t="s">
        <v>295</v>
      </c>
      <c r="I54" s="308">
        <v>34.799999999999997</v>
      </c>
      <c r="J54" s="314">
        <v>0.27</v>
      </c>
      <c r="K54" s="308">
        <v>34.799999999999997</v>
      </c>
      <c r="L54" s="147" t="s">
        <v>55</v>
      </c>
      <c r="M54" s="148" t="s">
        <v>9</v>
      </c>
      <c r="N54" s="308">
        <v>4</v>
      </c>
      <c r="O54" s="308">
        <v>3</v>
      </c>
      <c r="P54" s="185">
        <v>0.5</v>
      </c>
      <c r="Q54" s="87" t="s">
        <v>62</v>
      </c>
      <c r="R54" s="186"/>
      <c r="U54"/>
    </row>
    <row r="55" spans="1:21" ht="23.1" customHeight="1" x14ac:dyDescent="0.25">
      <c r="A55"/>
      <c r="B55" s="187" t="s">
        <v>18</v>
      </c>
      <c r="C55" s="188"/>
      <c r="D55" s="72">
        <f>SUM(D53:D54)</f>
        <v>535</v>
      </c>
      <c r="E55" s="72">
        <f>SUM(E53:E54)</f>
        <v>1446.65</v>
      </c>
      <c r="F55" s="189"/>
      <c r="G55" s="312" t="s">
        <v>323</v>
      </c>
      <c r="H55" s="312" t="s">
        <v>325</v>
      </c>
      <c r="I55" s="312">
        <v>824</v>
      </c>
      <c r="J55" s="315"/>
      <c r="K55" s="312">
        <v>488</v>
      </c>
      <c r="L55" s="315"/>
      <c r="M55" s="312">
        <v>336</v>
      </c>
      <c r="N55" s="312" t="s">
        <v>340</v>
      </c>
      <c r="O55" s="316" t="s">
        <v>341</v>
      </c>
      <c r="P55" s="109"/>
      <c r="Q55"/>
      <c r="R55" s="186"/>
      <c r="U55"/>
    </row>
    <row r="56" spans="1:21" ht="23.1" customHeight="1" x14ac:dyDescent="0.25">
      <c r="A56"/>
      <c r="D56" s="68"/>
      <c r="E56" s="68" t="s">
        <v>86</v>
      </c>
      <c r="F56" s="68"/>
      <c r="I56" s="93"/>
      <c r="J56" s="93"/>
      <c r="P56" s="66"/>
      <c r="Q56" s="66"/>
      <c r="R56" s="66"/>
      <c r="T56" s="66"/>
      <c r="U56"/>
    </row>
    <row r="57" spans="1:21" s="22" customFormat="1" ht="27" customHeight="1" x14ac:dyDescent="0.25">
      <c r="A57" s="3"/>
      <c r="B57" s="21" t="s">
        <v>63</v>
      </c>
      <c r="C57" s="21"/>
      <c r="D57" s="21"/>
      <c r="P57" s="67"/>
    </row>
    <row r="58" spans="1:21" ht="23.1" customHeight="1" x14ac:dyDescent="0.25">
      <c r="A58" s="65"/>
      <c r="P58" s="66"/>
      <c r="T58" s="3"/>
      <c r="U58"/>
    </row>
    <row r="59" spans="1:21" ht="79.5" customHeight="1" x14ac:dyDescent="0.25">
      <c r="B59" s="209" t="s">
        <v>64</v>
      </c>
      <c r="C59" s="106" t="s">
        <v>44</v>
      </c>
      <c r="D59" s="210" t="s">
        <v>45</v>
      </c>
      <c r="E59" s="210" t="s">
        <v>46</v>
      </c>
      <c r="F59" s="210" t="s">
        <v>47</v>
      </c>
      <c r="G59" s="106" t="s">
        <v>48</v>
      </c>
      <c r="H59" s="2" t="s">
        <v>49</v>
      </c>
      <c r="I59" s="2" t="s">
        <v>263</v>
      </c>
      <c r="J59" s="5" t="s">
        <v>50</v>
      </c>
      <c r="K59" s="2" t="s">
        <v>264</v>
      </c>
      <c r="L59" s="5" t="s">
        <v>51</v>
      </c>
      <c r="M59" s="2" t="s">
        <v>41</v>
      </c>
      <c r="N59" s="102" t="s">
        <v>332</v>
      </c>
      <c r="O59" s="106" t="s">
        <v>372</v>
      </c>
      <c r="P59" s="104" t="s">
        <v>53</v>
      </c>
      <c r="Q59" s="85"/>
      <c r="R59" s="85"/>
      <c r="S59" s="31"/>
      <c r="T59" s="6"/>
      <c r="U59"/>
    </row>
    <row r="60" spans="1:21" ht="41.45" customHeight="1" x14ac:dyDescent="0.25">
      <c r="B60" s="146" t="s">
        <v>65</v>
      </c>
      <c r="C60" s="168" t="s">
        <v>54</v>
      </c>
      <c r="D60" s="169">
        <v>1211</v>
      </c>
      <c r="E60" s="147">
        <v>824</v>
      </c>
      <c r="F60" s="317" t="s">
        <v>70</v>
      </c>
      <c r="G60" s="208" t="s">
        <v>298</v>
      </c>
      <c r="H60" s="170" t="s">
        <v>299</v>
      </c>
      <c r="I60" s="170">
        <v>46</v>
      </c>
      <c r="J60" s="171">
        <v>0.17</v>
      </c>
      <c r="K60" s="170">
        <v>46</v>
      </c>
      <c r="L60" s="171">
        <v>0.48</v>
      </c>
      <c r="M60" s="172" t="s">
        <v>300</v>
      </c>
      <c r="N60" s="173" t="s">
        <v>301</v>
      </c>
      <c r="O60" s="174">
        <v>1</v>
      </c>
      <c r="P60" s="351" t="s">
        <v>234</v>
      </c>
      <c r="Q60" s="352"/>
      <c r="R60" s="352"/>
      <c r="T60" s="27"/>
      <c r="U60"/>
    </row>
    <row r="61" spans="1:21" ht="41.45" customHeight="1" x14ac:dyDescent="0.25">
      <c r="B61" s="146" t="s">
        <v>66</v>
      </c>
      <c r="C61" s="175" t="s">
        <v>54</v>
      </c>
      <c r="D61" s="147">
        <v>256</v>
      </c>
      <c r="E61" s="147" t="s">
        <v>9</v>
      </c>
      <c r="F61" s="317" t="s">
        <v>248</v>
      </c>
      <c r="G61" s="175" t="s">
        <v>302</v>
      </c>
      <c r="H61" s="147" t="s">
        <v>303</v>
      </c>
      <c r="I61" s="148">
        <v>21</v>
      </c>
      <c r="J61" s="150">
        <v>0.12</v>
      </c>
      <c r="K61" s="169">
        <v>21</v>
      </c>
      <c r="L61" s="151">
        <v>0.61</v>
      </c>
      <c r="M61" s="177" t="s">
        <v>304</v>
      </c>
      <c r="N61" s="178" t="s">
        <v>305</v>
      </c>
      <c r="O61" s="153">
        <v>1</v>
      </c>
      <c r="P61" s="87" t="s">
        <v>233</v>
      </c>
      <c r="Q61" s="179"/>
      <c r="R61" s="26"/>
      <c r="T61" s="26"/>
      <c r="U61"/>
    </row>
    <row r="62" spans="1:21" ht="41.45" customHeight="1" x14ac:dyDescent="0.25">
      <c r="B62" s="146" t="s">
        <v>68</v>
      </c>
      <c r="C62" s="175" t="s">
        <v>54</v>
      </c>
      <c r="D62" s="147">
        <v>290</v>
      </c>
      <c r="E62" s="147">
        <v>940</v>
      </c>
      <c r="F62" s="317" t="s">
        <v>60</v>
      </c>
      <c r="G62" s="175" t="s">
        <v>306</v>
      </c>
      <c r="H62" s="147" t="s">
        <v>307</v>
      </c>
      <c r="I62" s="148">
        <v>14</v>
      </c>
      <c r="J62" s="150">
        <v>0.19</v>
      </c>
      <c r="K62" s="169">
        <v>14</v>
      </c>
      <c r="L62" s="151">
        <v>0.46</v>
      </c>
      <c r="M62" s="177" t="s">
        <v>308</v>
      </c>
      <c r="N62" s="178" t="s">
        <v>249</v>
      </c>
      <c r="O62" s="153">
        <v>1</v>
      </c>
      <c r="P62" s="87" t="s">
        <v>235</v>
      </c>
      <c r="Q62" s="262"/>
      <c r="R62" s="26"/>
      <c r="T62" s="26"/>
      <c r="U62"/>
    </row>
    <row r="63" spans="1:21" ht="41.45" customHeight="1" x14ac:dyDescent="0.25">
      <c r="B63" s="146" t="s">
        <v>69</v>
      </c>
      <c r="C63" s="175" t="s">
        <v>54</v>
      </c>
      <c r="D63" s="147">
        <v>392</v>
      </c>
      <c r="E63" s="147">
        <v>688</v>
      </c>
      <c r="F63" s="317" t="s">
        <v>70</v>
      </c>
      <c r="G63" s="175" t="s">
        <v>342</v>
      </c>
      <c r="H63" s="147" t="s">
        <v>343</v>
      </c>
      <c r="I63" s="148">
        <v>13</v>
      </c>
      <c r="J63" s="150">
        <v>0.12</v>
      </c>
      <c r="K63" s="169">
        <v>13</v>
      </c>
      <c r="L63" s="151">
        <v>0.53</v>
      </c>
      <c r="M63" s="177" t="s">
        <v>344</v>
      </c>
      <c r="N63" s="178" t="s">
        <v>345</v>
      </c>
      <c r="O63" s="153">
        <v>1</v>
      </c>
      <c r="P63" s="87" t="s">
        <v>233</v>
      </c>
      <c r="Q63" s="262"/>
      <c r="R63" s="26"/>
      <c r="T63" s="26"/>
      <c r="U63"/>
    </row>
    <row r="64" spans="1:21" ht="41.45" customHeight="1" x14ac:dyDescent="0.25">
      <c r="B64" s="146" t="s">
        <v>71</v>
      </c>
      <c r="C64" s="175" t="s">
        <v>54</v>
      </c>
      <c r="D64" s="147">
        <v>128</v>
      </c>
      <c r="E64" s="147">
        <v>400</v>
      </c>
      <c r="F64" s="317" t="s">
        <v>60</v>
      </c>
      <c r="G64" s="175" t="s">
        <v>309</v>
      </c>
      <c r="H64" s="148" t="s">
        <v>310</v>
      </c>
      <c r="I64" s="148">
        <v>56</v>
      </c>
      <c r="J64" s="150">
        <v>0.17</v>
      </c>
      <c r="K64" s="169">
        <v>56</v>
      </c>
      <c r="L64" s="151">
        <v>0.55000000000000004</v>
      </c>
      <c r="M64" s="177" t="s">
        <v>67</v>
      </c>
      <c r="N64" s="178" t="s">
        <v>72</v>
      </c>
      <c r="O64" s="153">
        <v>1</v>
      </c>
      <c r="P64" s="87" t="s">
        <v>235</v>
      </c>
      <c r="Q64" s="212"/>
      <c r="R64" s="26"/>
      <c r="T64" s="26"/>
      <c r="U64"/>
    </row>
    <row r="65" spans="1:21" ht="41.45" customHeight="1" x14ac:dyDescent="0.25">
      <c r="B65" s="146" t="s">
        <v>73</v>
      </c>
      <c r="C65" s="168" t="s">
        <v>74</v>
      </c>
      <c r="D65" s="169">
        <v>225</v>
      </c>
      <c r="E65" s="169">
        <v>220</v>
      </c>
      <c r="F65" s="147" t="s">
        <v>314</v>
      </c>
      <c r="G65" s="149" t="s">
        <v>311</v>
      </c>
      <c r="H65" s="148" t="s">
        <v>311</v>
      </c>
      <c r="I65" s="148">
        <v>3</v>
      </c>
      <c r="J65" s="150">
        <v>0.25</v>
      </c>
      <c r="K65" s="148">
        <v>3</v>
      </c>
      <c r="L65" s="151" t="s">
        <v>55</v>
      </c>
      <c r="M65" s="148" t="s">
        <v>312</v>
      </c>
      <c r="N65" s="152" t="s">
        <v>313</v>
      </c>
      <c r="O65" s="162">
        <v>0.72</v>
      </c>
      <c r="P65" s="32"/>
      <c r="Q65" s="31"/>
      <c r="R65" s="31"/>
      <c r="S65" s="31"/>
      <c r="T65" s="3"/>
      <c r="U65"/>
    </row>
    <row r="66" spans="1:21" ht="34.5" customHeight="1" x14ac:dyDescent="0.25">
      <c r="B66" s="19"/>
      <c r="C66" s="20"/>
      <c r="D66" s="20"/>
      <c r="E66" s="20"/>
      <c r="F66" s="20"/>
      <c r="G66" s="20"/>
      <c r="H66" s="20"/>
      <c r="I66" s="20"/>
      <c r="J66" s="20"/>
      <c r="K66" s="20"/>
      <c r="L66" s="20"/>
      <c r="M66" s="20"/>
      <c r="N66" s="20"/>
      <c r="O66" s="4"/>
      <c r="P66" s="77"/>
      <c r="Q66" s="77"/>
      <c r="R66" s="77"/>
    </row>
    <row r="67" spans="1:21" ht="74.25" customHeight="1" x14ac:dyDescent="0.25">
      <c r="B67" s="219" t="s">
        <v>271</v>
      </c>
      <c r="C67" s="340" t="s">
        <v>75</v>
      </c>
      <c r="D67" s="341"/>
      <c r="E67" s="341"/>
      <c r="F67" s="354"/>
      <c r="G67" s="358" t="s">
        <v>48</v>
      </c>
      <c r="H67" s="343" t="s">
        <v>49</v>
      </c>
      <c r="I67" s="343" t="s">
        <v>263</v>
      </c>
      <c r="J67" s="339" t="s">
        <v>50</v>
      </c>
      <c r="K67" s="343" t="s">
        <v>264</v>
      </c>
      <c r="L67" s="339" t="s">
        <v>51</v>
      </c>
      <c r="M67" s="343" t="s">
        <v>41</v>
      </c>
      <c r="N67" s="360" t="s">
        <v>332</v>
      </c>
      <c r="O67" s="358" t="s">
        <v>372</v>
      </c>
      <c r="P67" s="343" t="s">
        <v>53</v>
      </c>
      <c r="Q67" s="77"/>
      <c r="R67" s="77"/>
    </row>
    <row r="68" spans="1:21" ht="25.5" customHeight="1" x14ac:dyDescent="0.25">
      <c r="B68" s="1"/>
      <c r="C68" s="289">
        <v>2024</v>
      </c>
      <c r="D68" s="29">
        <v>2025</v>
      </c>
      <c r="E68" s="29">
        <v>2026</v>
      </c>
      <c r="F68" s="29">
        <v>2027</v>
      </c>
      <c r="G68" s="359"/>
      <c r="H68" s="339"/>
      <c r="I68" s="339"/>
      <c r="J68" s="339"/>
      <c r="K68" s="339"/>
      <c r="L68" s="339"/>
      <c r="M68" s="339"/>
      <c r="N68" s="361"/>
      <c r="O68" s="359"/>
      <c r="P68" s="339"/>
    </row>
    <row r="69" spans="1:21" ht="25.5" customHeight="1" x14ac:dyDescent="0.25">
      <c r="B69" s="278" t="s">
        <v>274</v>
      </c>
      <c r="C69" s="289" t="s">
        <v>272</v>
      </c>
      <c r="D69" s="29" t="s">
        <v>272</v>
      </c>
      <c r="E69" s="29" t="s">
        <v>272</v>
      </c>
      <c r="F69" s="29" t="s">
        <v>272</v>
      </c>
      <c r="G69" s="288"/>
      <c r="H69" s="5"/>
      <c r="I69" s="5"/>
      <c r="J69" s="5"/>
      <c r="K69" s="5"/>
      <c r="L69" s="5"/>
      <c r="M69" s="5"/>
      <c r="N69" s="105"/>
      <c r="O69" s="30"/>
      <c r="P69" s="324"/>
      <c r="Q69" s="31"/>
      <c r="R69" s="31"/>
    </row>
    <row r="70" spans="1:21" ht="39.950000000000003" customHeight="1" x14ac:dyDescent="0.25">
      <c r="B70" s="146" t="s">
        <v>54</v>
      </c>
      <c r="C70" s="147" t="s">
        <v>9</v>
      </c>
      <c r="D70" s="147" t="s">
        <v>9</v>
      </c>
      <c r="E70" s="147" t="s">
        <v>9</v>
      </c>
      <c r="F70" s="148" t="s">
        <v>273</v>
      </c>
      <c r="G70" s="149" t="s">
        <v>315</v>
      </c>
      <c r="H70" s="169" t="s">
        <v>352</v>
      </c>
      <c r="I70" s="148">
        <v>17</v>
      </c>
      <c r="J70" s="150">
        <v>0.16</v>
      </c>
      <c r="K70" s="148">
        <v>17</v>
      </c>
      <c r="L70" s="151">
        <v>0.5</v>
      </c>
      <c r="M70" s="148" t="s">
        <v>230</v>
      </c>
      <c r="N70" s="152" t="s">
        <v>61</v>
      </c>
      <c r="O70" s="153">
        <v>1</v>
      </c>
      <c r="P70" s="320" t="s">
        <v>233</v>
      </c>
      <c r="Q70" s="63"/>
      <c r="R70" s="63"/>
    </row>
    <row r="71" spans="1:21" ht="39.950000000000003" customHeight="1" x14ac:dyDescent="0.25">
      <c r="B71" s="146" t="s">
        <v>76</v>
      </c>
      <c r="C71" s="147" t="s">
        <v>9</v>
      </c>
      <c r="D71" s="147" t="s">
        <v>9</v>
      </c>
      <c r="E71" s="147" t="s">
        <v>9</v>
      </c>
      <c r="F71" s="148" t="s">
        <v>276</v>
      </c>
      <c r="G71" s="149" t="s">
        <v>316</v>
      </c>
      <c r="H71" s="148" t="s">
        <v>316</v>
      </c>
      <c r="I71" s="148">
        <v>2.6</v>
      </c>
      <c r="J71" s="150">
        <v>0.22</v>
      </c>
      <c r="K71" s="148">
        <v>2.6</v>
      </c>
      <c r="L71" s="151" t="s">
        <v>55</v>
      </c>
      <c r="M71" s="148" t="s">
        <v>72</v>
      </c>
      <c r="N71" s="152" t="s">
        <v>231</v>
      </c>
      <c r="O71" s="153">
        <v>1</v>
      </c>
      <c r="P71" s="321"/>
      <c r="Q71" s="63"/>
      <c r="R71" s="63"/>
    </row>
    <row r="72" spans="1:21" ht="60" customHeight="1" x14ac:dyDescent="0.25">
      <c r="B72" s="154" t="s">
        <v>277</v>
      </c>
      <c r="C72" s="325" t="s">
        <v>9</v>
      </c>
      <c r="D72" s="285" t="s">
        <v>283</v>
      </c>
      <c r="E72" s="286" t="s">
        <v>284</v>
      </c>
      <c r="F72" s="148" t="s">
        <v>275</v>
      </c>
      <c r="G72" s="287" t="s">
        <v>317</v>
      </c>
      <c r="H72" s="148" t="s">
        <v>317</v>
      </c>
      <c r="I72" s="148">
        <v>5.8</v>
      </c>
      <c r="J72" s="150">
        <v>0.3</v>
      </c>
      <c r="K72" s="148">
        <v>5.8</v>
      </c>
      <c r="L72" s="147" t="s">
        <v>55</v>
      </c>
      <c r="M72" s="148" t="s">
        <v>250</v>
      </c>
      <c r="N72" s="267" t="s">
        <v>77</v>
      </c>
      <c r="O72" s="275">
        <v>0.89</v>
      </c>
      <c r="P72" s="322" t="s">
        <v>331</v>
      </c>
      <c r="Q72" s="323"/>
      <c r="R72" s="323"/>
    </row>
    <row r="73" spans="1:21" ht="34.5" customHeight="1" x14ac:dyDescent="0.25">
      <c r="A73" s="97"/>
      <c r="B73" s="155" t="s">
        <v>16</v>
      </c>
      <c r="C73" s="147" t="s">
        <v>9</v>
      </c>
      <c r="D73" s="156" t="s">
        <v>283</v>
      </c>
      <c r="E73" s="290" t="s">
        <v>284</v>
      </c>
      <c r="F73" s="290" t="s">
        <v>320</v>
      </c>
      <c r="G73" s="291" t="s">
        <v>328</v>
      </c>
      <c r="H73" s="156" t="s">
        <v>353</v>
      </c>
      <c r="I73" s="156">
        <v>25</v>
      </c>
      <c r="J73" s="156"/>
      <c r="K73" s="156">
        <v>25</v>
      </c>
      <c r="L73" s="156"/>
      <c r="M73" s="156" t="s">
        <v>329</v>
      </c>
      <c r="N73" s="157" t="s">
        <v>330</v>
      </c>
      <c r="O73" s="158"/>
      <c r="P73"/>
      <c r="S73"/>
    </row>
    <row r="74" spans="1:21" ht="34.5" customHeight="1" x14ac:dyDescent="0.25">
      <c r="A74" s="97"/>
      <c r="B74" s="154" t="s">
        <v>17</v>
      </c>
      <c r="C74" s="325" t="s">
        <v>9</v>
      </c>
      <c r="D74" s="159" t="s">
        <v>9</v>
      </c>
      <c r="E74" s="284" t="s">
        <v>282</v>
      </c>
      <c r="F74" s="160" t="s">
        <v>9</v>
      </c>
      <c r="G74" s="292">
        <v>9</v>
      </c>
      <c r="H74" s="263">
        <v>9</v>
      </c>
      <c r="I74" s="160">
        <v>0.06</v>
      </c>
      <c r="J74" s="274">
        <v>0.3</v>
      </c>
      <c r="K74" s="160">
        <v>0.06</v>
      </c>
      <c r="L74" s="160" t="s">
        <v>55</v>
      </c>
      <c r="M74" s="160">
        <v>1</v>
      </c>
      <c r="N74" s="161">
        <v>1</v>
      </c>
      <c r="O74" s="162">
        <v>0.5</v>
      </c>
      <c r="P74" s="87" t="s">
        <v>356</v>
      </c>
      <c r="S74"/>
    </row>
    <row r="75" spans="1:21" ht="20.45" customHeight="1" x14ac:dyDescent="0.25">
      <c r="A75" s="97"/>
      <c r="B75"/>
      <c r="D75"/>
      <c r="E75"/>
      <c r="F75"/>
      <c r="G75"/>
      <c r="H75"/>
      <c r="I75"/>
      <c r="J75"/>
      <c r="K75"/>
      <c r="L75"/>
      <c r="M75"/>
      <c r="N75"/>
      <c r="O75"/>
      <c r="P75" s="90"/>
      <c r="Q75"/>
      <c r="S75"/>
    </row>
    <row r="76" spans="1:21" ht="34.5" customHeight="1" x14ac:dyDescent="0.25">
      <c r="A76" s="97"/>
      <c r="B76" s="163" t="s">
        <v>78</v>
      </c>
      <c r="C76" s="355" t="s">
        <v>357</v>
      </c>
      <c r="D76" s="356"/>
      <c r="E76" s="356"/>
      <c r="F76" s="357"/>
      <c r="G76" s="164" t="s">
        <v>346</v>
      </c>
      <c r="H76" s="198" t="s">
        <v>354</v>
      </c>
      <c r="I76" s="165">
        <v>178</v>
      </c>
      <c r="J76" s="165"/>
      <c r="K76" s="165">
        <v>178</v>
      </c>
      <c r="L76" s="165"/>
      <c r="M76" s="165" t="s">
        <v>347</v>
      </c>
      <c r="N76" s="166" t="s">
        <v>355</v>
      </c>
      <c r="O76" s="211"/>
      <c r="P76" s="90"/>
      <c r="Q76"/>
      <c r="S76"/>
    </row>
    <row r="77" spans="1:21" customFormat="1" ht="34.5" customHeight="1" x14ac:dyDescent="0.25">
      <c r="B77" s="3"/>
      <c r="C77" s="167"/>
      <c r="D77" s="333"/>
      <c r="E77" s="333"/>
      <c r="R77" s="3"/>
    </row>
    <row r="78" spans="1:21" customFormat="1" ht="24.6" customHeight="1" x14ac:dyDescent="0.4">
      <c r="B78" s="318" t="s">
        <v>335</v>
      </c>
      <c r="C78" s="276"/>
      <c r="D78" s="276"/>
      <c r="E78" s="276"/>
      <c r="F78" s="276"/>
      <c r="G78" s="319"/>
      <c r="H78" s="276"/>
      <c r="I78" s="276"/>
      <c r="J78" s="276"/>
      <c r="K78" s="276"/>
      <c r="L78" s="276"/>
      <c r="M78" s="276"/>
      <c r="N78" s="276"/>
      <c r="O78" s="276"/>
      <c r="P78" s="3"/>
      <c r="Q78" s="139"/>
      <c r="R78" s="3"/>
    </row>
    <row r="79" spans="1:21" ht="34.5" customHeight="1" x14ac:dyDescent="0.25">
      <c r="A79"/>
      <c r="B79" s="353" t="s">
        <v>376</v>
      </c>
      <c r="C79" s="353"/>
      <c r="D79" s="353"/>
      <c r="E79" s="353"/>
      <c r="F79" s="353"/>
      <c r="G79" s="353"/>
      <c r="H79" s="353"/>
      <c r="I79" s="353"/>
      <c r="J79" s="353"/>
      <c r="K79" s="353"/>
      <c r="L79" s="353"/>
      <c r="M79" s="353"/>
      <c r="N79" s="353"/>
      <c r="O79" s="353"/>
      <c r="P79" s="91"/>
      <c r="Q79"/>
      <c r="S79"/>
    </row>
    <row r="80" spans="1:21" ht="22.5" customHeight="1" x14ac:dyDescent="0.4">
      <c r="A80"/>
      <c r="B80" s="276" t="s">
        <v>349</v>
      </c>
      <c r="P80" s="91"/>
      <c r="Q80"/>
      <c r="S80"/>
    </row>
    <row r="81" spans="1:20" ht="34.5" customHeight="1" x14ac:dyDescent="0.4">
      <c r="A81"/>
      <c r="B81" s="347" t="s">
        <v>351</v>
      </c>
      <c r="C81" s="348"/>
      <c r="D81" s="348"/>
      <c r="E81" s="348"/>
      <c r="F81" s="348"/>
      <c r="G81" s="348"/>
      <c r="H81" s="348"/>
      <c r="I81" s="348"/>
      <c r="J81" s="348"/>
      <c r="K81" s="348"/>
      <c r="L81" s="348"/>
      <c r="M81" s="348"/>
      <c r="N81" s="348"/>
      <c r="O81" s="348"/>
      <c r="P81" s="91"/>
      <c r="Q81"/>
      <c r="S81"/>
    </row>
    <row r="82" spans="1:20" ht="34.5" customHeight="1" x14ac:dyDescent="0.4">
      <c r="A82"/>
      <c r="B82" s="348" t="s">
        <v>333</v>
      </c>
      <c r="C82" s="348"/>
      <c r="D82" s="348"/>
      <c r="E82" s="348"/>
      <c r="F82" s="348"/>
      <c r="G82" s="348"/>
      <c r="H82" s="348"/>
      <c r="I82" s="348"/>
      <c r="J82" s="348"/>
      <c r="K82" s="348"/>
      <c r="L82" s="348"/>
      <c r="M82" s="348"/>
      <c r="N82" s="348"/>
      <c r="O82" s="348"/>
      <c r="P82" s="91"/>
      <c r="Q82"/>
      <c r="S82"/>
    </row>
    <row r="83" spans="1:20" ht="34.5" customHeight="1" x14ac:dyDescent="0.4">
      <c r="A83"/>
      <c r="B83" s="276" t="s">
        <v>374</v>
      </c>
      <c r="P83" s="91"/>
      <c r="Q83"/>
      <c r="S83"/>
    </row>
    <row r="84" spans="1:20" ht="34.5" customHeight="1" x14ac:dyDescent="0.25">
      <c r="A84"/>
      <c r="B84" s="33" t="s">
        <v>81</v>
      </c>
      <c r="C84" s="21"/>
      <c r="D84" s="21"/>
      <c r="E84" s="21"/>
      <c r="F84" s="22"/>
      <c r="G84" s="22"/>
      <c r="H84" s="22"/>
      <c r="I84" s="22"/>
      <c r="J84" s="22"/>
      <c r="K84" s="22"/>
      <c r="L84" s="22"/>
      <c r="M84" s="22"/>
      <c r="N84" s="22"/>
      <c r="O84" s="22"/>
      <c r="P84" s="22"/>
      <c r="Q84" s="22"/>
      <c r="R84" s="22"/>
    </row>
    <row r="85" spans="1:20" ht="21.75" customHeight="1" x14ac:dyDescent="0.25">
      <c r="A85"/>
      <c r="B85" s="213"/>
      <c r="C85" s="112"/>
      <c r="D85" s="112"/>
      <c r="E85" s="112"/>
      <c r="F85" s="23"/>
      <c r="G85" s="23"/>
      <c r="H85" s="23"/>
      <c r="I85" s="23"/>
      <c r="J85" s="23"/>
      <c r="K85" s="23"/>
      <c r="L85" s="23"/>
      <c r="M85" s="23"/>
      <c r="N85" s="23"/>
      <c r="O85" s="23"/>
      <c r="P85" s="23"/>
      <c r="Q85" s="23"/>
      <c r="R85" s="23"/>
    </row>
    <row r="86" spans="1:20" ht="76.5" customHeight="1" x14ac:dyDescent="0.25">
      <c r="A86"/>
      <c r="B86" s="64" t="s">
        <v>11</v>
      </c>
      <c r="C86" s="2" t="s">
        <v>259</v>
      </c>
      <c r="D86" s="2" t="s">
        <v>266</v>
      </c>
      <c r="F86"/>
      <c r="G86"/>
      <c r="H86" s="23"/>
      <c r="I86" s="23"/>
      <c r="J86"/>
      <c r="K86"/>
      <c r="L86"/>
      <c r="M86"/>
      <c r="N86"/>
      <c r="O86"/>
      <c r="P86"/>
      <c r="Q86"/>
      <c r="R86"/>
      <c r="S86"/>
    </row>
    <row r="87" spans="1:20" ht="34.5" customHeight="1" x14ac:dyDescent="0.25">
      <c r="A87"/>
      <c r="B87" s="98" t="s">
        <v>82</v>
      </c>
      <c r="C87" s="279">
        <v>7351</v>
      </c>
      <c r="D87" s="62">
        <v>6912</v>
      </c>
      <c r="F87"/>
      <c r="G87"/>
      <c r="H87" s="23"/>
      <c r="I87" s="23"/>
      <c r="J87"/>
      <c r="K87"/>
      <c r="L87"/>
      <c r="M87"/>
      <c r="N87"/>
      <c r="O87"/>
      <c r="P87"/>
      <c r="Q87"/>
      <c r="R87"/>
      <c r="S87"/>
    </row>
    <row r="88" spans="1:20" ht="42" customHeight="1" x14ac:dyDescent="0.25">
      <c r="A88"/>
      <c r="B88" s="98" t="s">
        <v>83</v>
      </c>
      <c r="C88" s="280">
        <v>-2851</v>
      </c>
      <c r="D88" s="110">
        <v>-2642</v>
      </c>
      <c r="F88"/>
      <c r="G88"/>
      <c r="H88" s="23"/>
      <c r="I88" s="23"/>
      <c r="J88"/>
      <c r="K88"/>
      <c r="L88"/>
      <c r="M88"/>
      <c r="N88"/>
      <c r="O88"/>
      <c r="P88"/>
      <c r="Q88"/>
      <c r="R88"/>
      <c r="S88"/>
    </row>
    <row r="89" spans="1:20" ht="34.5" customHeight="1" x14ac:dyDescent="0.25">
      <c r="A89"/>
      <c r="B89" s="111" t="s">
        <v>84</v>
      </c>
      <c r="C89" s="281">
        <f>C87+C88</f>
        <v>4500</v>
      </c>
      <c r="D89" s="268">
        <v>4270</v>
      </c>
      <c r="F89"/>
      <c r="G89"/>
      <c r="H89" s="23"/>
      <c r="I89" s="23"/>
      <c r="J89"/>
      <c r="K89"/>
      <c r="L89"/>
      <c r="M89"/>
      <c r="N89"/>
      <c r="O89"/>
      <c r="P89"/>
      <c r="Q89"/>
      <c r="R89"/>
      <c r="S89"/>
    </row>
    <row r="90" spans="1:20" ht="34.5" customHeight="1" x14ac:dyDescent="0.25">
      <c r="A90"/>
      <c r="C90" s="68"/>
      <c r="E90"/>
      <c r="F90"/>
      <c r="G90"/>
      <c r="H90" s="23"/>
      <c r="I90" s="23"/>
      <c r="J90"/>
      <c r="K90"/>
      <c r="L90"/>
      <c r="M90"/>
      <c r="N90"/>
      <c r="O90"/>
      <c r="P90"/>
      <c r="Q90"/>
      <c r="R90"/>
      <c r="S90"/>
    </row>
    <row r="91" spans="1:20" x14ac:dyDescent="0.25">
      <c r="A91"/>
      <c r="B91" s="335"/>
      <c r="C91" s="335"/>
      <c r="D91" s="335"/>
      <c r="E91" s="335"/>
      <c r="F91" s="335"/>
      <c r="G91" s="335"/>
      <c r="H91" s="335"/>
      <c r="I91" s="335"/>
      <c r="J91" s="335"/>
      <c r="K91" s="335"/>
      <c r="L91" s="335"/>
      <c r="M91" s="335"/>
      <c r="N91" s="335"/>
      <c r="O91" s="63"/>
      <c r="P91" s="63"/>
      <c r="Q91"/>
      <c r="R91"/>
      <c r="S91"/>
    </row>
    <row r="92" spans="1:20" x14ac:dyDescent="0.25">
      <c r="A92"/>
      <c r="B92" s="63"/>
      <c r="C92" s="63"/>
      <c r="D92" s="63"/>
      <c r="E92" s="63"/>
      <c r="F92" s="63"/>
      <c r="G92" s="63"/>
      <c r="H92" s="63"/>
      <c r="I92" s="63"/>
      <c r="J92" s="63"/>
      <c r="K92" s="63"/>
      <c r="L92" s="63"/>
      <c r="M92" s="63"/>
      <c r="N92" s="63"/>
      <c r="O92" s="63"/>
      <c r="P92" s="63"/>
      <c r="Q92"/>
      <c r="R92"/>
      <c r="S92"/>
    </row>
    <row r="93" spans="1:20" x14ac:dyDescent="0.25">
      <c r="B93" s="25"/>
      <c r="C93" s="25"/>
      <c r="D93" s="25"/>
    </row>
    <row r="94" spans="1:20" ht="27" customHeight="1" x14ac:dyDescent="0.25">
      <c r="B94" s="33" t="s">
        <v>85</v>
      </c>
      <c r="C94" s="21"/>
      <c r="D94" s="21"/>
      <c r="E94" s="21"/>
      <c r="F94" s="22"/>
      <c r="G94" s="22"/>
      <c r="H94" s="22"/>
      <c r="I94" s="22"/>
      <c r="J94" s="22"/>
      <c r="K94" s="22"/>
      <c r="L94" s="22"/>
      <c r="M94" s="22"/>
      <c r="N94" s="22"/>
      <c r="O94" s="22"/>
      <c r="P94" s="22"/>
      <c r="Q94" s="22"/>
      <c r="R94" s="22"/>
    </row>
    <row r="95" spans="1:20" x14ac:dyDescent="0.25">
      <c r="B95" s="25" t="s">
        <v>86</v>
      </c>
      <c r="C95" s="25"/>
      <c r="D95" s="25"/>
    </row>
    <row r="96" spans="1:20" x14ac:dyDescent="0.25">
      <c r="B96"/>
      <c r="C96"/>
      <c r="D96"/>
      <c r="E96"/>
      <c r="F96"/>
      <c r="S96"/>
      <c r="T96" s="3"/>
    </row>
    <row r="97" spans="2:20" x14ac:dyDescent="0.25">
      <c r="H97"/>
      <c r="I97"/>
      <c r="J97"/>
      <c r="K97"/>
      <c r="L97"/>
      <c r="P97" s="68"/>
      <c r="S97"/>
      <c r="T97" s="3"/>
    </row>
    <row r="98" spans="2:20" x14ac:dyDescent="0.25">
      <c r="H98"/>
      <c r="I98"/>
      <c r="J98"/>
      <c r="K98"/>
      <c r="L98" s="55" t="s">
        <v>79</v>
      </c>
      <c r="M98" s="45">
        <v>2023</v>
      </c>
      <c r="N98" s="45" t="s">
        <v>87</v>
      </c>
      <c r="O98" s="45" t="s">
        <v>88</v>
      </c>
      <c r="P98" s="45" t="s">
        <v>89</v>
      </c>
      <c r="Q98" s="45" t="s">
        <v>240</v>
      </c>
      <c r="S98"/>
      <c r="T98" s="3"/>
    </row>
    <row r="99" spans="2:20" x14ac:dyDescent="0.25">
      <c r="H99"/>
      <c r="I99"/>
      <c r="J99"/>
      <c r="K99"/>
      <c r="L99" s="47" t="s">
        <v>90</v>
      </c>
      <c r="M99" s="46">
        <v>1883</v>
      </c>
      <c r="N99" s="46">
        <f>D36+D41</f>
        <v>1990</v>
      </c>
      <c r="O99" s="46">
        <f>N99</f>
        <v>1990</v>
      </c>
      <c r="P99" s="46">
        <f t="shared" ref="P99:Q99" si="4">O99</f>
        <v>1990</v>
      </c>
      <c r="Q99" s="46">
        <f t="shared" si="4"/>
        <v>1990</v>
      </c>
      <c r="S99"/>
      <c r="T99" s="3"/>
    </row>
    <row r="100" spans="2:20" ht="40.5" x14ac:dyDescent="0.25">
      <c r="H100"/>
      <c r="I100"/>
      <c r="J100"/>
      <c r="K100"/>
      <c r="L100" s="47" t="s">
        <v>91</v>
      </c>
      <c r="M100" s="46">
        <v>0</v>
      </c>
      <c r="N100" s="46">
        <f>D49+D54+D51</f>
        <v>441</v>
      </c>
      <c r="O100" s="46">
        <f>D52+N100</f>
        <v>535</v>
      </c>
      <c r="P100" s="46">
        <f>D55</f>
        <v>535</v>
      </c>
      <c r="Q100" s="46">
        <f>P100</f>
        <v>535</v>
      </c>
      <c r="S100"/>
      <c r="T100" s="3"/>
    </row>
    <row r="101" spans="2:20" ht="40.5" x14ac:dyDescent="0.25">
      <c r="H101"/>
      <c r="I101"/>
      <c r="J101"/>
      <c r="K101"/>
      <c r="L101" s="47" t="s">
        <v>92</v>
      </c>
      <c r="M101" s="46" t="s">
        <v>9</v>
      </c>
      <c r="N101" s="46" t="s">
        <v>9</v>
      </c>
      <c r="O101" s="46">
        <f>D62+D64+11</f>
        <v>429</v>
      </c>
      <c r="P101" s="46">
        <f>O101+D63+D60+5+D65</f>
        <v>2262</v>
      </c>
      <c r="Q101" s="46">
        <f>P101+350+D61</f>
        <v>2868</v>
      </c>
      <c r="S101"/>
      <c r="T101" s="3"/>
    </row>
    <row r="102" spans="2:20" x14ac:dyDescent="0.25">
      <c r="H102"/>
      <c r="I102"/>
      <c r="J102"/>
      <c r="K102"/>
      <c r="L102" s="48" t="s">
        <v>93</v>
      </c>
      <c r="M102" s="49">
        <v>1883</v>
      </c>
      <c r="N102" s="49">
        <f>SUM(N99:N101)</f>
        <v>2431</v>
      </c>
      <c r="O102" s="49">
        <f t="shared" ref="O102:P102" si="5">SUM(O99:O101)</f>
        <v>2954</v>
      </c>
      <c r="P102" s="49">
        <f t="shared" si="5"/>
        <v>4787</v>
      </c>
      <c r="Q102" s="49">
        <f>SUM(Q99:Q101)</f>
        <v>5393</v>
      </c>
      <c r="R102" s="78"/>
      <c r="S102"/>
      <c r="T102" s="3"/>
    </row>
    <row r="103" spans="2:20" x14ac:dyDescent="0.25">
      <c r="H103"/>
      <c r="I103"/>
      <c r="J103"/>
      <c r="K103"/>
      <c r="L103"/>
      <c r="M103"/>
      <c r="N103"/>
      <c r="O103"/>
      <c r="P103"/>
      <c r="Q103"/>
      <c r="S103"/>
      <c r="T103" s="3"/>
    </row>
    <row r="104" spans="2:20" x14ac:dyDescent="0.25">
      <c r="H104"/>
      <c r="I104"/>
      <c r="J104"/>
      <c r="K104"/>
      <c r="L104" s="260" t="s">
        <v>80</v>
      </c>
      <c r="M104" s="270">
        <v>277</v>
      </c>
      <c r="N104" s="270">
        <f>E36+E50+E51+E54</f>
        <v>1880.65</v>
      </c>
      <c r="O104" s="270">
        <f>N104+E62+E64+370</f>
        <v>3590.65</v>
      </c>
      <c r="P104" s="270">
        <f>O104+124+28+E60+E63+E65-2</f>
        <v>5472.65</v>
      </c>
      <c r="Q104" s="270">
        <f>4054+E55+E36-2</f>
        <v>5932.65</v>
      </c>
      <c r="S104"/>
      <c r="T104" s="3"/>
    </row>
    <row r="105" spans="2:20" x14ac:dyDescent="0.25">
      <c r="H105"/>
      <c r="I105"/>
      <c r="J105"/>
      <c r="K105"/>
      <c r="L105"/>
      <c r="M105"/>
      <c r="N105"/>
      <c r="O105"/>
      <c r="P105" s="90"/>
      <c r="Q105" s="90"/>
      <c r="S105"/>
      <c r="T105" s="3"/>
    </row>
    <row r="106" spans="2:20" x14ac:dyDescent="0.25">
      <c r="L106"/>
      <c r="M106"/>
      <c r="N106"/>
      <c r="O106"/>
      <c r="P106" s="90"/>
      <c r="Q106" s="90"/>
      <c r="S106"/>
      <c r="T106" s="3"/>
    </row>
    <row r="107" spans="2:20" x14ac:dyDescent="0.25">
      <c r="L107"/>
      <c r="M107"/>
      <c r="N107"/>
      <c r="O107" s="90"/>
      <c r="P107" s="90"/>
      <c r="Q107" s="90"/>
      <c r="S107"/>
      <c r="T107" s="3"/>
    </row>
    <row r="108" spans="2:20" ht="26.25" customHeight="1" x14ac:dyDescent="0.25">
      <c r="L108"/>
      <c r="M108"/>
      <c r="N108"/>
      <c r="O108"/>
      <c r="P108"/>
      <c r="Q108"/>
      <c r="R108"/>
    </row>
    <row r="109" spans="2:20" ht="27" customHeight="1" x14ac:dyDescent="0.25">
      <c r="B109" s="33" t="s">
        <v>94</v>
      </c>
      <c r="C109" s="21"/>
      <c r="D109" s="21"/>
      <c r="E109" s="21"/>
      <c r="F109" s="22"/>
      <c r="G109" s="22"/>
      <c r="H109" s="22"/>
      <c r="I109" s="22"/>
      <c r="J109" s="22"/>
      <c r="K109" s="22"/>
      <c r="L109" s="22"/>
      <c r="M109" s="22"/>
      <c r="N109" s="22"/>
      <c r="O109" s="22"/>
      <c r="P109" s="22"/>
      <c r="Q109" s="22"/>
      <c r="R109" s="22"/>
    </row>
    <row r="110" spans="2:20" x14ac:dyDescent="0.25">
      <c r="B110"/>
      <c r="C110"/>
      <c r="D110"/>
      <c r="E110"/>
      <c r="F110"/>
      <c r="G110"/>
      <c r="H110"/>
      <c r="N110"/>
      <c r="O110"/>
      <c r="P110"/>
      <c r="Q110"/>
      <c r="R110"/>
    </row>
    <row r="111" spans="2:20" ht="37.5" customHeight="1" x14ac:dyDescent="0.25">
      <c r="B111" s="346" t="s">
        <v>95</v>
      </c>
      <c r="C111" s="346"/>
      <c r="D111" s="346"/>
      <c r="E111" s="346"/>
      <c r="F111" s="346"/>
      <c r="G111" s="346"/>
      <c r="H111" s="346"/>
      <c r="I111" s="346"/>
      <c r="J111" s="346"/>
      <c r="K111" s="346"/>
      <c r="L111" s="346"/>
      <c r="M111" s="346"/>
      <c r="N111" s="346"/>
      <c r="O111"/>
      <c r="P111"/>
      <c r="Q111"/>
      <c r="R111"/>
    </row>
    <row r="112" spans="2:20" x14ac:dyDescent="0.25">
      <c r="N112"/>
      <c r="O112"/>
      <c r="P112"/>
      <c r="Q112"/>
      <c r="R112"/>
    </row>
    <row r="113" spans="2:18" x14ac:dyDescent="0.25">
      <c r="B113" s="3" t="s">
        <v>96</v>
      </c>
      <c r="N113"/>
      <c r="O113"/>
      <c r="P113"/>
      <c r="Q113"/>
      <c r="R113"/>
    </row>
    <row r="114" spans="2:18" x14ac:dyDescent="0.25">
      <c r="N114"/>
      <c r="O114"/>
      <c r="P114"/>
      <c r="Q114"/>
      <c r="R114"/>
    </row>
    <row r="115" spans="2:18" x14ac:dyDescent="0.3">
      <c r="B115" s="142" t="s">
        <v>97</v>
      </c>
      <c r="C115" s="54"/>
      <c r="D115" s="143" t="s">
        <v>98</v>
      </c>
      <c r="E115" s="143" t="s">
        <v>99</v>
      </c>
      <c r="N115"/>
      <c r="O115"/>
      <c r="P115"/>
      <c r="Q115"/>
      <c r="R115"/>
    </row>
    <row r="116" spans="2:18" x14ac:dyDescent="0.3">
      <c r="B116" s="54" t="s">
        <v>270</v>
      </c>
      <c r="C116" s="54"/>
      <c r="D116" s="144">
        <v>1.0694865655759511</v>
      </c>
      <c r="E116" s="144">
        <v>0.26602819898909286</v>
      </c>
      <c r="N116"/>
      <c r="O116"/>
      <c r="P116"/>
      <c r="Q116"/>
      <c r="R116"/>
    </row>
    <row r="117" spans="2:18" x14ac:dyDescent="0.3">
      <c r="B117" s="54" t="s">
        <v>269</v>
      </c>
      <c r="C117" s="54"/>
      <c r="D117" s="144">
        <v>1.0920000000000001</v>
      </c>
      <c r="E117" s="144">
        <v>0.27</v>
      </c>
      <c r="N117"/>
      <c r="O117"/>
      <c r="P117"/>
      <c r="Q117"/>
      <c r="R117"/>
    </row>
    <row r="118" spans="2:18" x14ac:dyDescent="0.3">
      <c r="B118" s="54"/>
      <c r="C118" s="54"/>
      <c r="D118" s="54"/>
      <c r="E118" s="54"/>
      <c r="N118"/>
      <c r="O118"/>
      <c r="P118"/>
      <c r="Q118"/>
      <c r="R118"/>
    </row>
    <row r="119" spans="2:18" x14ac:dyDescent="0.3">
      <c r="B119" s="142" t="s">
        <v>100</v>
      </c>
      <c r="C119" s="54"/>
      <c r="D119" s="54"/>
      <c r="E119" s="54"/>
      <c r="N119"/>
      <c r="O119"/>
      <c r="P119"/>
      <c r="Q119"/>
      <c r="R119"/>
    </row>
    <row r="120" spans="2:18" x14ac:dyDescent="0.3">
      <c r="B120" s="145" t="s">
        <v>268</v>
      </c>
      <c r="C120" s="54"/>
      <c r="D120" s="144">
        <v>1.0768549101748168</v>
      </c>
      <c r="E120" s="144">
        <v>0.26853567496441905</v>
      </c>
      <c r="N120"/>
      <c r="O120"/>
      <c r="P120"/>
      <c r="Q120"/>
      <c r="R120"/>
    </row>
    <row r="121" spans="2:18" x14ac:dyDescent="0.3">
      <c r="B121" s="145" t="s">
        <v>267</v>
      </c>
      <c r="C121" s="54"/>
      <c r="D121" s="144">
        <v>1.0888383312318404</v>
      </c>
      <c r="E121" s="144">
        <v>0.2741077791787731</v>
      </c>
      <c r="N121"/>
      <c r="O121"/>
      <c r="P121"/>
      <c r="Q121"/>
      <c r="R121"/>
    </row>
    <row r="122" spans="2:18" x14ac:dyDescent="0.3">
      <c r="B122" s="54"/>
      <c r="C122" s="54"/>
      <c r="D122" s="54"/>
      <c r="E122" s="54"/>
      <c r="F122" s="54"/>
      <c r="N122"/>
      <c r="O122"/>
      <c r="P122"/>
      <c r="Q122"/>
      <c r="R122"/>
    </row>
    <row r="123" spans="2:18" x14ac:dyDescent="0.25">
      <c r="B123"/>
      <c r="C123"/>
      <c r="D123"/>
      <c r="E123"/>
      <c r="F123"/>
      <c r="G123"/>
      <c r="N123"/>
      <c r="O123"/>
      <c r="P123"/>
      <c r="Q123"/>
      <c r="R123"/>
    </row>
    <row r="124" spans="2:18" x14ac:dyDescent="0.25">
      <c r="B124"/>
      <c r="C124"/>
      <c r="D124"/>
      <c r="E124" s="96"/>
      <c r="F124"/>
      <c r="G124"/>
      <c r="N124"/>
      <c r="O124"/>
      <c r="P124"/>
      <c r="Q124"/>
      <c r="R124"/>
    </row>
    <row r="125" spans="2:18" x14ac:dyDescent="0.25">
      <c r="B125"/>
      <c r="C125"/>
      <c r="D125"/>
      <c r="E125" s="96"/>
      <c r="F125"/>
      <c r="G125"/>
      <c r="K125" s="95"/>
      <c r="N125"/>
      <c r="O125"/>
      <c r="P125"/>
      <c r="Q125"/>
      <c r="R125"/>
    </row>
    <row r="126" spans="2:18" x14ac:dyDescent="0.25">
      <c r="E126" s="96"/>
      <c r="N126"/>
      <c r="O126"/>
      <c r="P126"/>
      <c r="Q126"/>
      <c r="R126"/>
    </row>
    <row r="127" spans="2:18" x14ac:dyDescent="0.25">
      <c r="E127"/>
      <c r="N127"/>
      <c r="O127"/>
      <c r="P127"/>
      <c r="Q127"/>
      <c r="R127"/>
    </row>
    <row r="128" spans="2:18" x14ac:dyDescent="0.25">
      <c r="N128"/>
      <c r="O128"/>
      <c r="P128"/>
      <c r="Q128"/>
      <c r="R128"/>
    </row>
    <row r="129" spans="4:18" x14ac:dyDescent="0.25">
      <c r="D129" s="261"/>
      <c r="E129" s="261"/>
      <c r="N129"/>
      <c r="O129"/>
      <c r="P129"/>
      <c r="Q129"/>
      <c r="R129"/>
    </row>
    <row r="130" spans="4:18" x14ac:dyDescent="0.25">
      <c r="N130"/>
      <c r="O130"/>
      <c r="P130"/>
      <c r="Q130"/>
      <c r="R130"/>
    </row>
    <row r="131" spans="4:18" x14ac:dyDescent="0.25"/>
    <row r="132" spans="4:18" x14ac:dyDescent="0.25"/>
    <row r="133" spans="4:18" x14ac:dyDescent="0.25"/>
    <row r="134" spans="4:18" x14ac:dyDescent="0.25"/>
    <row r="135" spans="4:18" x14ac:dyDescent="0.25"/>
    <row r="136" spans="4:18" x14ac:dyDescent="0.25"/>
    <row r="137" spans="4:18" x14ac:dyDescent="0.25"/>
    <row r="138" spans="4:18" x14ac:dyDescent="0.25"/>
    <row r="139" spans="4:18" x14ac:dyDescent="0.25"/>
    <row r="140" spans="4:18" x14ac:dyDescent="0.25"/>
    <row r="141" spans="4:18" x14ac:dyDescent="0.25"/>
    <row r="142" spans="4:18" x14ac:dyDescent="0.25"/>
    <row r="143" spans="4:18" x14ac:dyDescent="0.25"/>
    <row r="144" spans="4:18"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sheetData>
  <mergeCells count="37">
    <mergeCell ref="K67:K68"/>
    <mergeCell ref="L67:L68"/>
    <mergeCell ref="M67:M68"/>
    <mergeCell ref="N67:N68"/>
    <mergeCell ref="O67:O68"/>
    <mergeCell ref="B111:N111"/>
    <mergeCell ref="B91:N91"/>
    <mergeCell ref="B81:O81"/>
    <mergeCell ref="B82:O82"/>
    <mergeCell ref="K5:P5"/>
    <mergeCell ref="P60:R60"/>
    <mergeCell ref="G6:H6"/>
    <mergeCell ref="I6:J6"/>
    <mergeCell ref="B79:O79"/>
    <mergeCell ref="P67:P68"/>
    <mergeCell ref="C67:F67"/>
    <mergeCell ref="C76:F76"/>
    <mergeCell ref="G67:G68"/>
    <mergeCell ref="H67:H68"/>
    <mergeCell ref="I67:I68"/>
    <mergeCell ref="J67:J68"/>
    <mergeCell ref="Q51:S51"/>
    <mergeCell ref="Q52:S52"/>
    <mergeCell ref="B6:B7"/>
    <mergeCell ref="C6:C7"/>
    <mergeCell ref="K6:L6"/>
    <mergeCell ref="M6:N6"/>
    <mergeCell ref="O6:P6"/>
    <mergeCell ref="C24:C25"/>
    <mergeCell ref="E24:E25"/>
    <mergeCell ref="D6:D7"/>
    <mergeCell ref="D24:D25"/>
    <mergeCell ref="B43:M43"/>
    <mergeCell ref="B44:M44"/>
    <mergeCell ref="F24:G24"/>
    <mergeCell ref="H24:I24"/>
    <mergeCell ref="E6:F6"/>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57"/>
  <sheetViews>
    <sheetView showGridLines="0" zoomScale="55" zoomScaleNormal="55" workbookViewId="0">
      <selection activeCell="D14" sqref="D14"/>
    </sheetView>
  </sheetViews>
  <sheetFormatPr defaultColWidth="0" defaultRowHeight="15" zeroHeight="1" x14ac:dyDescent="0.25"/>
  <cols>
    <col min="1" max="1" width="4.42578125" customWidth="1"/>
    <col min="2" max="2" width="39.5703125" bestFit="1" customWidth="1"/>
    <col min="3" max="3" width="23.5703125" style="39" customWidth="1"/>
    <col min="4" max="4" width="32.7109375" style="39" customWidth="1"/>
    <col min="5" max="12" width="23.5703125" style="39" customWidth="1"/>
    <col min="13" max="13" width="59.42578125" style="39" customWidth="1"/>
    <col min="14" max="14" width="107.5703125" style="39" customWidth="1"/>
    <col min="15" max="15" width="8.7109375" customWidth="1"/>
    <col min="16" max="23" width="0" hidden="1" customWidth="1"/>
    <col min="24" max="16384" width="8.7109375" hidden="1"/>
  </cols>
  <sheetData>
    <row r="1" spans="2:23" x14ac:dyDescent="0.25">
      <c r="C1"/>
      <c r="D1"/>
      <c r="E1"/>
      <c r="F1"/>
      <c r="G1"/>
    </row>
    <row r="2" spans="2:23" ht="26.25" x14ac:dyDescent="0.55000000000000004">
      <c r="M2" s="114"/>
      <c r="N2" s="113"/>
    </row>
    <row r="3" spans="2:23" s="3" customFormat="1" ht="27" customHeight="1" x14ac:dyDescent="0.25">
      <c r="B3" s="21" t="s">
        <v>101</v>
      </c>
      <c r="C3" s="34"/>
      <c r="D3" s="34"/>
      <c r="E3" s="34"/>
      <c r="F3" s="34"/>
      <c r="G3" s="34"/>
      <c r="H3" s="35"/>
      <c r="I3" s="35"/>
      <c r="J3" s="35"/>
      <c r="K3" s="35"/>
      <c r="L3" s="35"/>
      <c r="M3" s="35"/>
      <c r="N3" s="35"/>
      <c r="O3"/>
      <c r="P3"/>
      <c r="Q3"/>
      <c r="R3"/>
      <c r="S3"/>
      <c r="T3"/>
      <c r="U3"/>
      <c r="V3"/>
      <c r="W3"/>
    </row>
    <row r="4" spans="2:23" x14ac:dyDescent="0.25"/>
    <row r="5" spans="2:23" x14ac:dyDescent="0.25">
      <c r="L5"/>
    </row>
    <row r="6" spans="2:23" ht="63.6" customHeight="1" x14ac:dyDescent="0.25">
      <c r="B6" s="44" t="s">
        <v>102</v>
      </c>
      <c r="C6" s="29" t="s">
        <v>22</v>
      </c>
      <c r="D6" s="29" t="s">
        <v>103</v>
      </c>
      <c r="E6" s="29" t="s">
        <v>44</v>
      </c>
      <c r="F6" s="29" t="s">
        <v>104</v>
      </c>
      <c r="G6" s="29" t="s">
        <v>105</v>
      </c>
      <c r="H6" s="29" t="s">
        <v>24</v>
      </c>
      <c r="I6" s="29" t="s">
        <v>106</v>
      </c>
      <c r="J6" s="29" t="s">
        <v>107</v>
      </c>
      <c r="K6" s="29" t="s">
        <v>108</v>
      </c>
      <c r="L6" s="5" t="s">
        <v>109</v>
      </c>
      <c r="M6" s="30" t="s">
        <v>110</v>
      </c>
      <c r="N6" s="30" t="s">
        <v>53</v>
      </c>
    </row>
    <row r="7" spans="2:23" ht="21.95" customHeight="1" x14ac:dyDescent="0.25">
      <c r="B7" s="368" t="s">
        <v>111</v>
      </c>
      <c r="C7" s="37" t="s">
        <v>25</v>
      </c>
      <c r="D7" s="37" t="s">
        <v>112</v>
      </c>
      <c r="E7" s="37" t="s">
        <v>25</v>
      </c>
      <c r="F7" s="37">
        <v>109</v>
      </c>
      <c r="G7" s="37" t="s">
        <v>9</v>
      </c>
      <c r="H7" s="70">
        <v>0.41</v>
      </c>
      <c r="I7" s="58" t="s">
        <v>113</v>
      </c>
      <c r="J7" s="37">
        <v>18</v>
      </c>
      <c r="K7" s="37" t="s">
        <v>114</v>
      </c>
      <c r="L7" s="140">
        <v>103.97230114392126</v>
      </c>
      <c r="M7" s="37" t="s">
        <v>115</v>
      </c>
      <c r="N7" s="73"/>
      <c r="P7" s="36"/>
      <c r="Q7" s="36"/>
      <c r="R7" s="36"/>
      <c r="S7" s="37"/>
      <c r="T7" s="36"/>
      <c r="U7" s="38"/>
    </row>
    <row r="8" spans="2:23" ht="21.95" customHeight="1" x14ac:dyDescent="0.25">
      <c r="B8" s="368"/>
      <c r="C8" s="37" t="s">
        <v>25</v>
      </c>
      <c r="D8" s="37" t="s">
        <v>26</v>
      </c>
      <c r="E8" s="37" t="s">
        <v>25</v>
      </c>
      <c r="F8" s="37">
        <v>55</v>
      </c>
      <c r="G8" s="37" t="s">
        <v>9</v>
      </c>
      <c r="H8" s="70">
        <v>0.9</v>
      </c>
      <c r="I8" s="58" t="s">
        <v>113</v>
      </c>
      <c r="J8" s="37">
        <v>12</v>
      </c>
      <c r="K8" s="37" t="s">
        <v>114</v>
      </c>
      <c r="L8" s="140">
        <v>183.44980579941475</v>
      </c>
      <c r="M8" s="37" t="s">
        <v>115</v>
      </c>
      <c r="N8" s="73"/>
    </row>
    <row r="9" spans="2:23" ht="21.95" customHeight="1" x14ac:dyDescent="0.25">
      <c r="B9" s="368"/>
      <c r="C9" s="37" t="s">
        <v>25</v>
      </c>
      <c r="D9" s="37" t="s">
        <v>27</v>
      </c>
      <c r="E9" s="37" t="s">
        <v>25</v>
      </c>
      <c r="F9" s="37">
        <v>42</v>
      </c>
      <c r="G9" s="37" t="s">
        <v>9</v>
      </c>
      <c r="H9" s="70">
        <v>0.75</v>
      </c>
      <c r="I9" s="58" t="s">
        <v>113</v>
      </c>
      <c r="J9" s="37" t="s">
        <v>72</v>
      </c>
      <c r="K9" s="37" t="s">
        <v>114</v>
      </c>
      <c r="L9" s="140">
        <v>59.541101861701833</v>
      </c>
      <c r="M9" s="37" t="s">
        <v>115</v>
      </c>
      <c r="N9" s="73"/>
    </row>
    <row r="10" spans="2:23" ht="21.95" customHeight="1" x14ac:dyDescent="0.25">
      <c r="B10" s="368"/>
      <c r="C10" s="37" t="s">
        <v>25</v>
      </c>
      <c r="D10" s="37" t="s">
        <v>116</v>
      </c>
      <c r="E10" s="37" t="s">
        <v>25</v>
      </c>
      <c r="F10" s="37">
        <v>33</v>
      </c>
      <c r="G10" s="37" t="s">
        <v>9</v>
      </c>
      <c r="H10" s="70">
        <v>0.98</v>
      </c>
      <c r="I10" s="58" t="s">
        <v>113</v>
      </c>
      <c r="J10" s="61" t="s">
        <v>117</v>
      </c>
      <c r="K10" s="37" t="s">
        <v>114</v>
      </c>
      <c r="L10" s="140">
        <v>330.81744476427866</v>
      </c>
      <c r="M10" s="37" t="s">
        <v>115</v>
      </c>
      <c r="N10" s="73"/>
    </row>
    <row r="11" spans="2:23" ht="21.95" customHeight="1" x14ac:dyDescent="0.25">
      <c r="B11" s="368"/>
      <c r="C11" s="37" t="s">
        <v>25</v>
      </c>
      <c r="D11" s="37" t="s">
        <v>118</v>
      </c>
      <c r="E11" s="37" t="s">
        <v>25</v>
      </c>
      <c r="F11" s="52">
        <v>196</v>
      </c>
      <c r="G11" s="52">
        <v>434</v>
      </c>
      <c r="H11" s="307">
        <v>0.66</v>
      </c>
      <c r="I11" s="58" t="s">
        <v>119</v>
      </c>
      <c r="J11" s="37" t="s">
        <v>9</v>
      </c>
      <c r="K11" s="37" t="s">
        <v>120</v>
      </c>
      <c r="L11" s="37" t="s">
        <v>121</v>
      </c>
      <c r="M11" s="37" t="s">
        <v>121</v>
      </c>
      <c r="N11" s="73"/>
    </row>
    <row r="12" spans="2:23" ht="21.95" customHeight="1" x14ac:dyDescent="0.25">
      <c r="B12" s="368"/>
      <c r="C12" s="37" t="s">
        <v>25</v>
      </c>
      <c r="D12" s="37" t="s">
        <v>122</v>
      </c>
      <c r="E12" s="37" t="s">
        <v>25</v>
      </c>
      <c r="F12" s="37">
        <v>207</v>
      </c>
      <c r="G12" s="37" t="s">
        <v>9</v>
      </c>
      <c r="H12" s="70">
        <v>0.54</v>
      </c>
      <c r="I12" s="58" t="s">
        <v>113</v>
      </c>
      <c r="J12" s="37">
        <v>20</v>
      </c>
      <c r="K12" s="37" t="s">
        <v>114</v>
      </c>
      <c r="L12" s="140">
        <v>94.880910348496954</v>
      </c>
      <c r="M12" s="56" t="s">
        <v>115</v>
      </c>
      <c r="N12" s="73"/>
    </row>
    <row r="13" spans="2:23" ht="20.25" x14ac:dyDescent="0.25">
      <c r="B13" s="368"/>
      <c r="C13" s="37" t="s">
        <v>14</v>
      </c>
      <c r="D13" s="37" t="s">
        <v>28</v>
      </c>
      <c r="E13" s="37" t="s">
        <v>74</v>
      </c>
      <c r="F13" s="37">
        <v>329</v>
      </c>
      <c r="G13" s="37" t="s">
        <v>9</v>
      </c>
      <c r="H13" s="70">
        <v>0.72</v>
      </c>
      <c r="I13" s="37" t="s">
        <v>123</v>
      </c>
      <c r="J13" s="37" t="s">
        <v>9</v>
      </c>
      <c r="K13" s="37" t="s">
        <v>9</v>
      </c>
      <c r="L13" s="37" t="s">
        <v>9</v>
      </c>
      <c r="M13" s="37" t="s">
        <v>9</v>
      </c>
      <c r="N13" s="73"/>
    </row>
    <row r="14" spans="2:23" ht="21.95" customHeight="1" x14ac:dyDescent="0.25">
      <c r="B14" s="368"/>
      <c r="C14" s="37" t="s">
        <v>14</v>
      </c>
      <c r="D14" s="37" t="s">
        <v>29</v>
      </c>
      <c r="E14" s="37" t="s">
        <v>124</v>
      </c>
      <c r="F14" s="37">
        <v>372</v>
      </c>
      <c r="G14" s="37" t="s">
        <v>9</v>
      </c>
      <c r="H14" s="70">
        <v>0.55000000000000004</v>
      </c>
      <c r="I14" s="58" t="s">
        <v>119</v>
      </c>
      <c r="J14" s="37">
        <v>9</v>
      </c>
      <c r="K14" s="37" t="s">
        <v>120</v>
      </c>
      <c r="L14" s="37" t="s">
        <v>121</v>
      </c>
      <c r="M14" s="37" t="s">
        <v>121</v>
      </c>
      <c r="N14" s="73" t="s">
        <v>125</v>
      </c>
    </row>
    <row r="15" spans="2:23" ht="41.1" customHeight="1" x14ac:dyDescent="0.25">
      <c r="B15" s="368"/>
      <c r="C15" s="37" t="s">
        <v>14</v>
      </c>
      <c r="D15" s="37" t="s">
        <v>30</v>
      </c>
      <c r="E15" s="37" t="s">
        <v>124</v>
      </c>
      <c r="F15" s="37">
        <v>116</v>
      </c>
      <c r="G15" s="37" t="s">
        <v>9</v>
      </c>
      <c r="H15" s="70">
        <v>0.69</v>
      </c>
      <c r="I15" s="58" t="s">
        <v>119</v>
      </c>
      <c r="J15" s="37">
        <v>9</v>
      </c>
      <c r="K15" s="37" t="s">
        <v>120</v>
      </c>
      <c r="L15" s="37" t="s">
        <v>121</v>
      </c>
      <c r="M15" s="37" t="s">
        <v>121</v>
      </c>
      <c r="N15" s="73" t="s">
        <v>126</v>
      </c>
    </row>
    <row r="16" spans="2:23" ht="21.95" customHeight="1" x14ac:dyDescent="0.25">
      <c r="B16" s="368"/>
      <c r="C16" s="37" t="s">
        <v>14</v>
      </c>
      <c r="D16" s="37" t="s">
        <v>31</v>
      </c>
      <c r="E16" s="37" t="s">
        <v>127</v>
      </c>
      <c r="F16" s="37">
        <v>14</v>
      </c>
      <c r="G16" s="37" t="s">
        <v>9</v>
      </c>
      <c r="H16" s="70">
        <v>0.501</v>
      </c>
      <c r="I16" s="58" t="s">
        <v>113</v>
      </c>
      <c r="J16" s="37">
        <v>9</v>
      </c>
      <c r="K16" s="37" t="s">
        <v>114</v>
      </c>
      <c r="L16" s="140">
        <v>96.122800187283858</v>
      </c>
      <c r="M16" s="37" t="s">
        <v>128</v>
      </c>
      <c r="N16" s="73"/>
    </row>
    <row r="17" spans="2:18" ht="21.95" customHeight="1" x14ac:dyDescent="0.25">
      <c r="B17" s="368"/>
      <c r="C17" s="37" t="s">
        <v>33</v>
      </c>
      <c r="D17" s="37" t="s">
        <v>32</v>
      </c>
      <c r="E17" s="37" t="s">
        <v>129</v>
      </c>
      <c r="F17" s="37">
        <v>105</v>
      </c>
      <c r="G17" s="37" t="s">
        <v>9</v>
      </c>
      <c r="H17" s="70">
        <v>0.6</v>
      </c>
      <c r="I17" s="58" t="s">
        <v>113</v>
      </c>
      <c r="J17" s="37">
        <v>10</v>
      </c>
      <c r="K17" s="37" t="s">
        <v>114</v>
      </c>
      <c r="L17" s="37">
        <v>101</v>
      </c>
      <c r="M17" s="37" t="s">
        <v>130</v>
      </c>
      <c r="N17" s="73"/>
    </row>
    <row r="18" spans="2:18" ht="21.95" customHeight="1" x14ac:dyDescent="0.25">
      <c r="B18" s="368"/>
      <c r="C18" s="37" t="s">
        <v>33</v>
      </c>
      <c r="D18" s="37" t="s">
        <v>34</v>
      </c>
      <c r="E18" s="37" t="s">
        <v>59</v>
      </c>
      <c r="F18" s="37">
        <v>105</v>
      </c>
      <c r="G18" s="37" t="s">
        <v>9</v>
      </c>
      <c r="H18" s="70">
        <v>0.501</v>
      </c>
      <c r="I18" s="58" t="s">
        <v>113</v>
      </c>
      <c r="J18" s="37">
        <v>8</v>
      </c>
      <c r="K18" s="37" t="s">
        <v>114</v>
      </c>
      <c r="L18" s="140">
        <v>122</v>
      </c>
      <c r="M18" s="37" t="s">
        <v>131</v>
      </c>
      <c r="N18" s="73"/>
    </row>
    <row r="19" spans="2:18" ht="42" customHeight="1" x14ac:dyDescent="0.25">
      <c r="B19" s="368"/>
      <c r="C19" s="37" t="s">
        <v>33</v>
      </c>
      <c r="D19" s="37" t="s">
        <v>35</v>
      </c>
      <c r="E19" s="37" t="s">
        <v>132</v>
      </c>
      <c r="F19" s="37">
        <v>49</v>
      </c>
      <c r="G19" s="37" t="s">
        <v>9</v>
      </c>
      <c r="H19" s="70">
        <v>0.501</v>
      </c>
      <c r="I19" s="58" t="s">
        <v>113</v>
      </c>
      <c r="J19" s="37">
        <v>9</v>
      </c>
      <c r="K19" s="37" t="s">
        <v>114</v>
      </c>
      <c r="L19" s="37">
        <v>136</v>
      </c>
      <c r="M19" s="37" t="s">
        <v>133</v>
      </c>
      <c r="N19" s="53"/>
    </row>
    <row r="20" spans="2:18" ht="21.95" customHeight="1" x14ac:dyDescent="0.25">
      <c r="B20" s="368"/>
      <c r="C20" s="37" t="s">
        <v>33</v>
      </c>
      <c r="D20" s="37" t="s">
        <v>36</v>
      </c>
      <c r="E20" s="37" t="s">
        <v>57</v>
      </c>
      <c r="F20" s="37">
        <v>57</v>
      </c>
      <c r="G20" s="37" t="s">
        <v>9</v>
      </c>
      <c r="H20" s="70">
        <v>0.501</v>
      </c>
      <c r="I20" s="58" t="s">
        <v>113</v>
      </c>
      <c r="J20" s="37">
        <v>15</v>
      </c>
      <c r="K20" s="37" t="s">
        <v>114</v>
      </c>
      <c r="L20" s="37">
        <v>126</v>
      </c>
      <c r="M20" s="37" t="s">
        <v>134</v>
      </c>
      <c r="N20" s="53" t="s">
        <v>135</v>
      </c>
    </row>
    <row r="21" spans="2:18" ht="39.6" customHeight="1" x14ac:dyDescent="0.25">
      <c r="B21" s="368"/>
      <c r="C21" s="37" t="s">
        <v>33</v>
      </c>
      <c r="D21" s="37" t="s">
        <v>37</v>
      </c>
      <c r="E21" s="37" t="s">
        <v>57</v>
      </c>
      <c r="F21" s="52">
        <v>26</v>
      </c>
      <c r="G21" s="37" t="s">
        <v>9</v>
      </c>
      <c r="H21" s="70">
        <v>1</v>
      </c>
      <c r="I21" s="58" t="s">
        <v>113</v>
      </c>
      <c r="J21" s="37">
        <v>14</v>
      </c>
      <c r="K21" s="37" t="s">
        <v>114</v>
      </c>
      <c r="L21" s="37">
        <v>85</v>
      </c>
      <c r="M21" s="37" t="s">
        <v>134</v>
      </c>
      <c r="N21" s="53"/>
    </row>
    <row r="22" spans="2:18" ht="21.95" customHeight="1" x14ac:dyDescent="0.25">
      <c r="B22" s="368"/>
      <c r="C22" s="37" t="s">
        <v>33</v>
      </c>
      <c r="D22" s="37" t="s">
        <v>56</v>
      </c>
      <c r="E22" s="37" t="s">
        <v>57</v>
      </c>
      <c r="F22" s="52">
        <v>60</v>
      </c>
      <c r="G22" s="37" t="s">
        <v>9</v>
      </c>
      <c r="H22" s="70">
        <v>1</v>
      </c>
      <c r="I22" s="37" t="s">
        <v>123</v>
      </c>
      <c r="J22" s="37" t="s">
        <v>9</v>
      </c>
      <c r="K22" s="37" t="s">
        <v>9</v>
      </c>
      <c r="L22" s="37" t="s">
        <v>9</v>
      </c>
      <c r="M22" s="56" t="s">
        <v>9</v>
      </c>
      <c r="N22" s="40"/>
    </row>
    <row r="23" spans="2:18" ht="39.6" customHeight="1" x14ac:dyDescent="0.25">
      <c r="B23" s="368"/>
      <c r="C23" s="37" t="s">
        <v>136</v>
      </c>
      <c r="D23" s="37" t="s">
        <v>38</v>
      </c>
      <c r="E23" s="37" t="s">
        <v>137</v>
      </c>
      <c r="F23" s="37">
        <v>106</v>
      </c>
      <c r="G23" s="37" t="s">
        <v>9</v>
      </c>
      <c r="H23" s="70">
        <v>1</v>
      </c>
      <c r="I23" s="58" t="s">
        <v>119</v>
      </c>
      <c r="J23" s="37">
        <v>19</v>
      </c>
      <c r="K23" s="37" t="s">
        <v>120</v>
      </c>
      <c r="L23" s="37" t="s">
        <v>121</v>
      </c>
      <c r="M23" s="37" t="s">
        <v>138</v>
      </c>
      <c r="N23" s="53"/>
    </row>
    <row r="24" spans="2:18" ht="39.6" customHeight="1" x14ac:dyDescent="0.25">
      <c r="B24" s="368"/>
      <c r="C24" s="41" t="s">
        <v>25</v>
      </c>
      <c r="D24" s="41" t="s">
        <v>17</v>
      </c>
      <c r="E24" s="41" t="s">
        <v>25</v>
      </c>
      <c r="F24" s="41">
        <v>9</v>
      </c>
      <c r="G24" s="41" t="s">
        <v>9</v>
      </c>
      <c r="H24" s="71">
        <v>0.5</v>
      </c>
      <c r="I24" s="117" t="s">
        <v>113</v>
      </c>
      <c r="J24" s="41" t="s">
        <v>139</v>
      </c>
      <c r="K24" s="41" t="s">
        <v>114</v>
      </c>
      <c r="L24" s="326">
        <v>66.226996368989759</v>
      </c>
      <c r="M24" s="41" t="s">
        <v>115</v>
      </c>
      <c r="N24" s="53"/>
    </row>
    <row r="25" spans="2:18" ht="21.95" customHeight="1" x14ac:dyDescent="0.25">
      <c r="B25" s="362" t="s">
        <v>140</v>
      </c>
      <c r="C25" s="37" t="s">
        <v>136</v>
      </c>
      <c r="D25" s="37" t="s">
        <v>348</v>
      </c>
      <c r="E25" s="37" t="s">
        <v>141</v>
      </c>
      <c r="F25" s="37">
        <v>364</v>
      </c>
      <c r="G25" s="52" t="s">
        <v>9</v>
      </c>
      <c r="H25" s="88">
        <v>1</v>
      </c>
      <c r="I25" s="58" t="s">
        <v>119</v>
      </c>
      <c r="J25" s="37">
        <v>20</v>
      </c>
      <c r="K25" s="37" t="s">
        <v>120</v>
      </c>
      <c r="L25" s="37" t="s">
        <v>121</v>
      </c>
      <c r="M25" s="56" t="s">
        <v>142</v>
      </c>
      <c r="N25" s="53"/>
    </row>
    <row r="26" spans="2:18" ht="21.95" customHeight="1" x14ac:dyDescent="0.25">
      <c r="B26" s="363"/>
      <c r="C26" s="37" t="s">
        <v>136</v>
      </c>
      <c r="D26" s="37" t="s">
        <v>177</v>
      </c>
      <c r="E26" s="37" t="s">
        <v>141</v>
      </c>
      <c r="F26" s="37" t="s">
        <v>9</v>
      </c>
      <c r="G26" s="52">
        <v>1200</v>
      </c>
      <c r="H26" s="88">
        <v>1</v>
      </c>
      <c r="I26" s="58" t="s">
        <v>119</v>
      </c>
      <c r="J26" s="37">
        <v>20</v>
      </c>
      <c r="K26" s="37" t="s">
        <v>120</v>
      </c>
      <c r="L26" s="37" t="s">
        <v>121</v>
      </c>
      <c r="M26" s="56" t="s">
        <v>142</v>
      </c>
      <c r="N26" s="53"/>
    </row>
    <row r="27" spans="2:18" ht="21.95" customHeight="1" x14ac:dyDescent="0.25">
      <c r="B27" s="363"/>
      <c r="C27" s="37" t="s">
        <v>25</v>
      </c>
      <c r="D27" s="37" t="s">
        <v>143</v>
      </c>
      <c r="E27" s="37" t="s">
        <v>25</v>
      </c>
      <c r="F27" s="37">
        <v>58</v>
      </c>
      <c r="G27" s="37">
        <v>160</v>
      </c>
      <c r="H27" s="70">
        <v>0.67</v>
      </c>
      <c r="I27" s="58" t="s">
        <v>119</v>
      </c>
      <c r="J27" s="37" t="s">
        <v>9</v>
      </c>
      <c r="K27" s="37" t="s">
        <v>9</v>
      </c>
      <c r="L27" s="37" t="s">
        <v>9</v>
      </c>
      <c r="M27" s="37" t="s">
        <v>121</v>
      </c>
      <c r="N27" s="53"/>
    </row>
    <row r="28" spans="2:18" ht="33.950000000000003" customHeight="1" x14ac:dyDescent="0.25">
      <c r="B28" s="363"/>
      <c r="C28" s="37" t="s">
        <v>33</v>
      </c>
      <c r="D28" s="37" t="s">
        <v>58</v>
      </c>
      <c r="E28" s="37" t="s">
        <v>59</v>
      </c>
      <c r="F28" s="37">
        <v>94</v>
      </c>
      <c r="G28" s="37" t="s">
        <v>9</v>
      </c>
      <c r="H28" s="70">
        <v>1</v>
      </c>
      <c r="I28" s="58" t="s">
        <v>113</v>
      </c>
      <c r="J28" s="37">
        <v>15</v>
      </c>
      <c r="K28" s="37" t="s">
        <v>114</v>
      </c>
      <c r="L28" s="52">
        <v>74</v>
      </c>
      <c r="M28" s="37" t="s">
        <v>131</v>
      </c>
      <c r="N28" s="53" t="s">
        <v>145</v>
      </c>
    </row>
    <row r="29" spans="2:18" ht="36.950000000000003" customHeight="1" x14ac:dyDescent="0.25">
      <c r="B29" s="364"/>
      <c r="C29" s="37" t="s">
        <v>25</v>
      </c>
      <c r="D29" s="37" t="s">
        <v>17</v>
      </c>
      <c r="E29" s="37" t="s">
        <v>25</v>
      </c>
      <c r="F29" s="52">
        <v>19</v>
      </c>
      <c r="G29" s="37">
        <v>87</v>
      </c>
      <c r="H29" s="70">
        <v>0.501</v>
      </c>
      <c r="I29" s="58" t="s">
        <v>144</v>
      </c>
      <c r="J29" s="37" t="s">
        <v>9</v>
      </c>
      <c r="K29" s="37" t="s">
        <v>9</v>
      </c>
      <c r="L29" s="37" t="s">
        <v>9</v>
      </c>
      <c r="M29" s="56" t="s">
        <v>9</v>
      </c>
      <c r="N29" s="53" t="s">
        <v>146</v>
      </c>
    </row>
    <row r="30" spans="2:18" ht="20.25" x14ac:dyDescent="0.25">
      <c r="B30" s="365" t="s">
        <v>147</v>
      </c>
      <c r="C30" s="99" t="s">
        <v>136</v>
      </c>
      <c r="D30" s="99" t="s">
        <v>65</v>
      </c>
      <c r="E30" s="99" t="s">
        <v>148</v>
      </c>
      <c r="F30" s="101">
        <v>1211</v>
      </c>
      <c r="G30" s="99">
        <v>824</v>
      </c>
      <c r="H30" s="100">
        <v>1</v>
      </c>
      <c r="I30" s="99" t="s">
        <v>119</v>
      </c>
      <c r="J30" s="99">
        <v>20</v>
      </c>
      <c r="K30" s="99" t="s">
        <v>120</v>
      </c>
      <c r="L30" s="99" t="s">
        <v>121</v>
      </c>
      <c r="M30" s="141" t="s">
        <v>149</v>
      </c>
      <c r="N30" s="214" t="s">
        <v>150</v>
      </c>
      <c r="P30" s="38"/>
      <c r="Q30" s="38"/>
      <c r="R30" s="38"/>
    </row>
    <row r="31" spans="2:18" ht="20.25" x14ac:dyDescent="0.25">
      <c r="B31" s="366"/>
      <c r="C31" s="37" t="s">
        <v>136</v>
      </c>
      <c r="D31" s="37" t="s">
        <v>68</v>
      </c>
      <c r="E31" s="37" t="s">
        <v>148</v>
      </c>
      <c r="F31" s="37">
        <v>290</v>
      </c>
      <c r="G31" s="37">
        <v>940</v>
      </c>
      <c r="H31" s="88">
        <v>1</v>
      </c>
      <c r="I31" s="203" t="s">
        <v>119</v>
      </c>
      <c r="J31" s="37">
        <v>20</v>
      </c>
      <c r="K31" s="37" t="s">
        <v>120</v>
      </c>
      <c r="L31" s="37" t="s">
        <v>121</v>
      </c>
      <c r="M31" s="56" t="s">
        <v>151</v>
      </c>
      <c r="N31" s="38"/>
      <c r="P31" s="36"/>
      <c r="Q31" s="36"/>
      <c r="R31" s="36"/>
    </row>
    <row r="32" spans="2:18" ht="21.95" customHeight="1" x14ac:dyDescent="0.25">
      <c r="B32" s="366"/>
      <c r="C32" s="37" t="s">
        <v>136</v>
      </c>
      <c r="D32" s="37" t="s">
        <v>152</v>
      </c>
      <c r="E32" s="37" t="s">
        <v>153</v>
      </c>
      <c r="F32" s="140">
        <v>127.4</v>
      </c>
      <c r="G32" s="37" t="s">
        <v>9</v>
      </c>
      <c r="H32" s="88">
        <v>1</v>
      </c>
      <c r="I32" s="203" t="s">
        <v>119</v>
      </c>
      <c r="J32" s="37">
        <v>20</v>
      </c>
      <c r="K32" s="37" t="s">
        <v>120</v>
      </c>
      <c r="L32" s="37" t="s">
        <v>121</v>
      </c>
      <c r="M32" s="56" t="s">
        <v>154</v>
      </c>
      <c r="N32" s="38"/>
    </row>
    <row r="33" spans="2:15" ht="21.95" customHeight="1" x14ac:dyDescent="0.25">
      <c r="B33" s="366"/>
      <c r="C33" s="37" t="s">
        <v>136</v>
      </c>
      <c r="D33" s="37" t="s">
        <v>155</v>
      </c>
      <c r="E33" s="37" t="s">
        <v>156</v>
      </c>
      <c r="F33" s="140">
        <v>184.5</v>
      </c>
      <c r="G33" s="37" t="s">
        <v>9</v>
      </c>
      <c r="H33" s="88">
        <v>1</v>
      </c>
      <c r="I33" s="203" t="s">
        <v>119</v>
      </c>
      <c r="J33" s="37">
        <v>20</v>
      </c>
      <c r="K33" s="37" t="s">
        <v>120</v>
      </c>
      <c r="L33" s="37" t="s">
        <v>121</v>
      </c>
      <c r="M33" s="56" t="s">
        <v>157</v>
      </c>
      <c r="N33" s="38"/>
    </row>
    <row r="34" spans="2:15" ht="20.25" x14ac:dyDescent="0.25">
      <c r="B34" s="366"/>
      <c r="C34" s="37" t="s">
        <v>136</v>
      </c>
      <c r="D34" s="37" t="s">
        <v>66</v>
      </c>
      <c r="E34" s="37" t="s">
        <v>158</v>
      </c>
      <c r="F34" s="37">
        <v>256</v>
      </c>
      <c r="G34" s="37" t="s">
        <v>9</v>
      </c>
      <c r="H34" s="88">
        <v>1</v>
      </c>
      <c r="I34" s="203" t="s">
        <v>119</v>
      </c>
      <c r="J34" s="37" t="s">
        <v>159</v>
      </c>
      <c r="K34" s="37" t="s">
        <v>120</v>
      </c>
      <c r="L34" s="37" t="s">
        <v>121</v>
      </c>
      <c r="M34" s="56" t="s">
        <v>160</v>
      </c>
      <c r="N34" s="38"/>
    </row>
    <row r="35" spans="2:15" ht="20.25" x14ac:dyDescent="0.25">
      <c r="B35" s="366"/>
      <c r="C35" s="37" t="s">
        <v>136</v>
      </c>
      <c r="D35" s="37" t="s">
        <v>69</v>
      </c>
      <c r="E35" s="37" t="s">
        <v>161</v>
      </c>
      <c r="F35" s="37">
        <v>392</v>
      </c>
      <c r="G35" s="37">
        <v>688</v>
      </c>
      <c r="H35" s="88">
        <v>1</v>
      </c>
      <c r="I35" s="203" t="s">
        <v>119</v>
      </c>
      <c r="J35" s="37" t="s">
        <v>162</v>
      </c>
      <c r="K35" s="37" t="s">
        <v>120</v>
      </c>
      <c r="L35" s="37" t="s">
        <v>121</v>
      </c>
      <c r="M35" s="56" t="s">
        <v>163</v>
      </c>
      <c r="N35" s="38"/>
    </row>
    <row r="36" spans="2:15" ht="20.25" x14ac:dyDescent="0.25">
      <c r="B36" s="366"/>
      <c r="C36" s="37" t="s">
        <v>136</v>
      </c>
      <c r="D36" s="37" t="s">
        <v>71</v>
      </c>
      <c r="E36" s="37" t="s">
        <v>141</v>
      </c>
      <c r="F36" s="37">
        <v>128</v>
      </c>
      <c r="G36" s="37">
        <v>400</v>
      </c>
      <c r="H36" s="88">
        <v>1</v>
      </c>
      <c r="I36" s="203" t="s">
        <v>119</v>
      </c>
      <c r="J36" s="37">
        <v>20</v>
      </c>
      <c r="K36" s="37" t="s">
        <v>120</v>
      </c>
      <c r="L36" s="37" t="s">
        <v>121</v>
      </c>
      <c r="M36" s="56" t="s">
        <v>164</v>
      </c>
      <c r="N36" s="38"/>
    </row>
    <row r="37" spans="2:15" ht="20.25" x14ac:dyDescent="0.25">
      <c r="B37" s="366"/>
      <c r="C37" s="37" t="s">
        <v>14</v>
      </c>
      <c r="D37" s="37" t="s">
        <v>73</v>
      </c>
      <c r="E37" s="37" t="s">
        <v>74</v>
      </c>
      <c r="F37" s="37">
        <v>225</v>
      </c>
      <c r="G37" s="37">
        <v>220</v>
      </c>
      <c r="H37" s="88">
        <v>0.72</v>
      </c>
      <c r="I37" s="37" t="s">
        <v>123</v>
      </c>
      <c r="J37" s="37" t="s">
        <v>9</v>
      </c>
      <c r="K37" s="37" t="s">
        <v>9</v>
      </c>
      <c r="L37" s="37" t="s">
        <v>9</v>
      </c>
      <c r="M37" s="56" t="s">
        <v>9</v>
      </c>
      <c r="N37" s="38" t="s">
        <v>165</v>
      </c>
    </row>
    <row r="38" spans="2:15" ht="20.25" x14ac:dyDescent="0.25">
      <c r="B38" s="366"/>
      <c r="C38" s="37" t="s">
        <v>14</v>
      </c>
      <c r="D38" s="37" t="s">
        <v>166</v>
      </c>
      <c r="E38" s="37" t="s">
        <v>167</v>
      </c>
      <c r="F38" s="37" t="s">
        <v>9</v>
      </c>
      <c r="G38" s="37">
        <v>460</v>
      </c>
      <c r="H38" s="88">
        <v>1</v>
      </c>
      <c r="I38" s="37" t="s">
        <v>144</v>
      </c>
      <c r="J38" s="37" t="s">
        <v>9</v>
      </c>
      <c r="K38" s="37" t="s">
        <v>9</v>
      </c>
      <c r="L38" s="37" t="s">
        <v>9</v>
      </c>
      <c r="M38" s="56" t="s">
        <v>9</v>
      </c>
      <c r="N38" s="38"/>
    </row>
    <row r="39" spans="2:15" ht="20.25" x14ac:dyDescent="0.25">
      <c r="B39" s="366"/>
      <c r="C39" s="37" t="s">
        <v>25</v>
      </c>
      <c r="D39" s="37" t="s">
        <v>168</v>
      </c>
      <c r="E39" s="37" t="s">
        <v>25</v>
      </c>
      <c r="F39" s="37" t="s">
        <v>9</v>
      </c>
      <c r="G39" s="37">
        <v>494</v>
      </c>
      <c r="H39" s="88">
        <v>0.95</v>
      </c>
      <c r="I39" s="203" t="s">
        <v>144</v>
      </c>
      <c r="J39" s="37" t="s">
        <v>9</v>
      </c>
      <c r="K39" s="37" t="s">
        <v>9</v>
      </c>
      <c r="L39" s="37" t="s">
        <v>9</v>
      </c>
      <c r="M39" s="56" t="s">
        <v>9</v>
      </c>
      <c r="N39" s="53" t="s">
        <v>146</v>
      </c>
    </row>
    <row r="40" spans="2:15" ht="20.25" x14ac:dyDescent="0.25">
      <c r="B40" s="366"/>
      <c r="C40" s="37" t="s">
        <v>25</v>
      </c>
      <c r="D40" s="37" t="s">
        <v>169</v>
      </c>
      <c r="E40" s="37" t="s">
        <v>25</v>
      </c>
      <c r="F40" s="37">
        <v>38</v>
      </c>
      <c r="G40" s="37" t="s">
        <v>9</v>
      </c>
      <c r="H40" s="88">
        <v>0.83</v>
      </c>
      <c r="I40" s="203" t="s">
        <v>144</v>
      </c>
      <c r="J40" s="37" t="s">
        <v>9</v>
      </c>
      <c r="K40" s="37" t="s">
        <v>9</v>
      </c>
      <c r="L40" s="37" t="s">
        <v>9</v>
      </c>
      <c r="M40" s="37" t="s">
        <v>9</v>
      </c>
      <c r="N40" s="8"/>
      <c r="O40" s="277"/>
    </row>
    <row r="41" spans="2:15" ht="20.25" x14ac:dyDescent="0.25">
      <c r="B41" s="366"/>
      <c r="C41" s="37" t="s">
        <v>25</v>
      </c>
      <c r="D41" s="37" t="s">
        <v>244</v>
      </c>
      <c r="E41" s="37" t="s">
        <v>25</v>
      </c>
      <c r="F41" s="37">
        <v>11</v>
      </c>
      <c r="G41" s="37" t="s">
        <v>9</v>
      </c>
      <c r="H41" s="70">
        <v>0.8</v>
      </c>
      <c r="I41" s="58" t="s">
        <v>119</v>
      </c>
      <c r="J41" s="37">
        <v>25</v>
      </c>
      <c r="K41" s="37" t="s">
        <v>120</v>
      </c>
      <c r="L41" s="37" t="s">
        <v>359</v>
      </c>
      <c r="M41" s="37" t="s">
        <v>255</v>
      </c>
      <c r="N41" s="8"/>
      <c r="O41" s="277"/>
    </row>
    <row r="42" spans="2:15" ht="40.5" x14ac:dyDescent="0.25">
      <c r="B42" s="367"/>
      <c r="C42" s="41" t="s">
        <v>25</v>
      </c>
      <c r="D42" s="41" t="s">
        <v>17</v>
      </c>
      <c r="E42" s="41" t="s">
        <v>25</v>
      </c>
      <c r="F42" s="41">
        <v>5</v>
      </c>
      <c r="G42" s="41">
        <v>28</v>
      </c>
      <c r="H42" s="71">
        <v>0.5</v>
      </c>
      <c r="I42" s="117" t="s">
        <v>144</v>
      </c>
      <c r="J42" s="41" t="s">
        <v>9</v>
      </c>
      <c r="K42" s="41" t="s">
        <v>9</v>
      </c>
      <c r="L42" s="41" t="s">
        <v>9</v>
      </c>
      <c r="M42" s="57" t="s">
        <v>9</v>
      </c>
      <c r="N42" s="220" t="s">
        <v>146</v>
      </c>
    </row>
    <row r="43" spans="2:15" x14ac:dyDescent="0.25">
      <c r="D43" s="266"/>
      <c r="E43" s="265"/>
      <c r="F43" s="264"/>
      <c r="G43" s="264"/>
    </row>
    <row r="44" spans="2:15" x14ac:dyDescent="0.25">
      <c r="D44" s="266"/>
      <c r="E44" s="265"/>
      <c r="F44" s="264"/>
      <c r="G44" s="264"/>
    </row>
    <row r="45" spans="2:15" x14ac:dyDescent="0.25">
      <c r="D45" s="266"/>
      <c r="E45" s="265"/>
      <c r="F45" s="264"/>
      <c r="G45" s="264"/>
    </row>
    <row r="46" spans="2:15" x14ac:dyDescent="0.25"/>
    <row r="47" spans="2:15" x14ac:dyDescent="0.25"/>
    <row r="48" spans="2:15" x14ac:dyDescent="0.25"/>
    <row r="49" x14ac:dyDescent="0.25"/>
    <row r="50" x14ac:dyDescent="0.25"/>
    <row r="51" x14ac:dyDescent="0.25"/>
    <row r="52" x14ac:dyDescent="0.25"/>
    <row r="53" x14ac:dyDescent="0.25"/>
    <row r="54" x14ac:dyDescent="0.25"/>
    <row r="55" x14ac:dyDescent="0.25"/>
    <row r="56" x14ac:dyDescent="0.25"/>
    <row r="57" x14ac:dyDescent="0.25"/>
  </sheetData>
  <mergeCells count="3">
    <mergeCell ref="B25:B29"/>
    <mergeCell ref="B30:B42"/>
    <mergeCell ref="B7:B2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2"/>
  <sheetViews>
    <sheetView showGridLines="0" zoomScale="55" zoomScaleNormal="55" workbookViewId="0"/>
  </sheetViews>
  <sheetFormatPr defaultColWidth="0" defaultRowHeight="15" zeroHeight="1" x14ac:dyDescent="0.25"/>
  <cols>
    <col min="1" max="1" width="6.5703125" customWidth="1"/>
    <col min="2" max="2" width="31.5703125" customWidth="1"/>
    <col min="3" max="3" width="25.7109375" customWidth="1"/>
    <col min="4" max="6" width="21.85546875" customWidth="1"/>
    <col min="7" max="7" width="27.85546875" customWidth="1"/>
    <col min="8" max="9" width="17.42578125" hidden="1" customWidth="1"/>
    <col min="10" max="20" width="0" hidden="1" customWidth="1"/>
    <col min="21" max="16384" width="8.7109375" hidden="1"/>
  </cols>
  <sheetData>
    <row r="1" spans="1:20" ht="26.25" x14ac:dyDescent="0.55000000000000004">
      <c r="A1">
        <v>12823</v>
      </c>
      <c r="E1" s="114"/>
      <c r="F1" s="113"/>
    </row>
    <row r="2" spans="1:20" x14ac:dyDescent="0.25"/>
    <row r="3" spans="1:20" s="3" customFormat="1" ht="20.25" x14ac:dyDescent="0.25">
      <c r="B3" s="21" t="s">
        <v>170</v>
      </c>
      <c r="C3" s="21"/>
      <c r="D3" s="21"/>
      <c r="E3" s="21"/>
      <c r="F3" s="22"/>
      <c r="G3"/>
      <c r="H3"/>
      <c r="I3"/>
      <c r="J3"/>
      <c r="K3"/>
      <c r="L3"/>
      <c r="M3"/>
      <c r="N3"/>
      <c r="O3"/>
      <c r="P3"/>
      <c r="Q3"/>
      <c r="R3"/>
      <c r="T3"/>
    </row>
    <row r="4" spans="1:20" x14ac:dyDescent="0.25"/>
    <row r="5" spans="1:20" x14ac:dyDescent="0.25"/>
    <row r="6" spans="1:20" ht="61.5" thickBot="1" x14ac:dyDescent="0.3">
      <c r="B6" s="28" t="s">
        <v>22</v>
      </c>
      <c r="C6" s="2" t="s">
        <v>44</v>
      </c>
      <c r="D6" s="2" t="s">
        <v>45</v>
      </c>
      <c r="E6" s="2" t="s">
        <v>46</v>
      </c>
      <c r="F6" s="2" t="s">
        <v>171</v>
      </c>
    </row>
    <row r="7" spans="1:20" s="137" customFormat="1" ht="21" customHeight="1" thickBot="1" x14ac:dyDescent="0.3">
      <c r="B7" s="122" t="s">
        <v>136</v>
      </c>
      <c r="C7" s="69"/>
      <c r="D7" s="123">
        <v>3626</v>
      </c>
      <c r="E7" s="123">
        <v>9836</v>
      </c>
      <c r="F7" s="124" t="s">
        <v>172</v>
      </c>
      <c r="G7" s="327"/>
    </row>
    <row r="8" spans="1:20" s="137" customFormat="1" ht="21" customHeight="1" x14ac:dyDescent="0.25">
      <c r="B8" s="369" t="s">
        <v>76</v>
      </c>
      <c r="C8" s="125" t="s">
        <v>167</v>
      </c>
      <c r="D8" s="126">
        <v>198</v>
      </c>
      <c r="E8" s="127">
        <v>1380</v>
      </c>
      <c r="F8" s="128" t="s">
        <v>172</v>
      </c>
    </row>
    <row r="9" spans="1:20" s="137" customFormat="1" ht="21" customHeight="1" x14ac:dyDescent="0.25">
      <c r="B9" s="370"/>
      <c r="C9" s="328" t="s">
        <v>74</v>
      </c>
      <c r="D9" s="329" t="s">
        <v>9</v>
      </c>
      <c r="E9" s="329">
        <v>196</v>
      </c>
      <c r="F9" s="330"/>
    </row>
    <row r="10" spans="1:20" s="137" customFormat="1" ht="21" customHeight="1" x14ac:dyDescent="0.25">
      <c r="B10" s="370"/>
      <c r="C10" s="129" t="s">
        <v>132</v>
      </c>
      <c r="D10" s="331">
        <v>376</v>
      </c>
      <c r="E10" s="331" t="s">
        <v>9</v>
      </c>
      <c r="F10" s="130" t="s">
        <v>172</v>
      </c>
    </row>
    <row r="11" spans="1:20" s="137" customFormat="1" ht="21" customHeight="1" thickBot="1" x14ac:dyDescent="0.3">
      <c r="B11" s="371"/>
      <c r="C11" s="131" t="s">
        <v>360</v>
      </c>
      <c r="D11" s="132">
        <f>SUM(D8:D10)</f>
        <v>574</v>
      </c>
      <c r="E11" s="132">
        <f>SUM(E8:E10)</f>
        <v>1576</v>
      </c>
      <c r="F11" s="133" t="s">
        <v>172</v>
      </c>
    </row>
    <row r="12" spans="1:20" s="137" customFormat="1" ht="21" customHeight="1" thickBot="1" x14ac:dyDescent="0.3">
      <c r="B12" s="122" t="s">
        <v>25</v>
      </c>
      <c r="C12" s="69"/>
      <c r="D12" s="123">
        <v>123</v>
      </c>
      <c r="E12" s="123">
        <v>3007</v>
      </c>
      <c r="F12" s="124" t="s">
        <v>172</v>
      </c>
    </row>
    <row r="13" spans="1:20" s="137" customFormat="1" ht="21" customHeight="1" x14ac:dyDescent="0.25">
      <c r="B13" s="134" t="s">
        <v>18</v>
      </c>
      <c r="C13" s="135"/>
      <c r="D13" s="108">
        <f>SUM(D7,,D12,D11)</f>
        <v>4323</v>
      </c>
      <c r="E13" s="108">
        <f>SUM(E7,,E12,E11)</f>
        <v>14419</v>
      </c>
      <c r="F13" s="136"/>
      <c r="G13" s="327"/>
    </row>
    <row r="14" spans="1:20" x14ac:dyDescent="0.25"/>
    <row r="15" spans="1:20" x14ac:dyDescent="0.25"/>
    <row r="16" spans="1:20" ht="20.25" x14ac:dyDescent="0.25">
      <c r="B16" s="21" t="s">
        <v>173</v>
      </c>
      <c r="C16" s="21"/>
      <c r="D16" s="21"/>
      <c r="E16" s="21"/>
      <c r="F16" s="22"/>
    </row>
    <row r="17" spans="2:6" x14ac:dyDescent="0.25"/>
    <row r="18" spans="2:6" x14ac:dyDescent="0.25"/>
    <row r="19" spans="2:6" ht="61.5" thickBot="1" x14ac:dyDescent="0.3">
      <c r="B19" s="28" t="s">
        <v>22</v>
      </c>
      <c r="C19" s="2" t="s">
        <v>44</v>
      </c>
      <c r="D19" s="2" t="s">
        <v>45</v>
      </c>
      <c r="E19" s="2" t="s">
        <v>46</v>
      </c>
      <c r="F19" s="2" t="s">
        <v>171</v>
      </c>
    </row>
    <row r="20" spans="2:6" ht="20.25" customHeight="1" thickBot="1" x14ac:dyDescent="0.3">
      <c r="B20" s="122" t="s">
        <v>136</v>
      </c>
      <c r="C20" s="69"/>
      <c r="D20" s="123">
        <v>8427</v>
      </c>
      <c r="E20" s="123">
        <v>8000</v>
      </c>
      <c r="F20" s="124" t="s">
        <v>172</v>
      </c>
    </row>
    <row r="21" spans="2:6" ht="20.25" customHeight="1" x14ac:dyDescent="0.25">
      <c r="B21" s="369" t="s">
        <v>76</v>
      </c>
      <c r="C21" s="125" t="s">
        <v>167</v>
      </c>
      <c r="D21" s="127">
        <v>211.4</v>
      </c>
      <c r="E21" s="127">
        <v>347.5</v>
      </c>
      <c r="F21" s="128" t="s">
        <v>174</v>
      </c>
    </row>
    <row r="22" spans="2:6" ht="20.25" customHeight="1" x14ac:dyDescent="0.25">
      <c r="B22" s="370"/>
      <c r="C22" s="332" t="s">
        <v>74</v>
      </c>
      <c r="D22" s="50">
        <v>1156</v>
      </c>
      <c r="E22" s="50">
        <v>60</v>
      </c>
      <c r="F22" s="330" t="s">
        <v>172</v>
      </c>
    </row>
    <row r="23" spans="2:6" ht="20.25" customHeight="1" x14ac:dyDescent="0.25">
      <c r="B23" s="370"/>
      <c r="C23" s="129" t="s">
        <v>132</v>
      </c>
      <c r="D23" s="331">
        <v>139</v>
      </c>
      <c r="E23" s="331" t="s">
        <v>9</v>
      </c>
      <c r="F23" s="130" t="s">
        <v>175</v>
      </c>
    </row>
    <row r="24" spans="2:6" ht="20.25" customHeight="1" x14ac:dyDescent="0.25">
      <c r="B24" s="370"/>
      <c r="C24" s="129" t="s">
        <v>59</v>
      </c>
      <c r="D24" s="50">
        <v>200</v>
      </c>
      <c r="E24" s="50" t="s">
        <v>9</v>
      </c>
      <c r="F24" s="130" t="s">
        <v>174</v>
      </c>
    </row>
    <row r="25" spans="2:6" ht="20.25" customHeight="1" thickBot="1" x14ac:dyDescent="0.3">
      <c r="B25" s="371"/>
      <c r="C25" s="131" t="s">
        <v>360</v>
      </c>
      <c r="D25" s="132">
        <f>SUM(D21:D24)</f>
        <v>1706.4</v>
      </c>
      <c r="E25" s="132">
        <f>SUM(E21:E24)</f>
        <v>407.5</v>
      </c>
      <c r="F25" s="133" t="s">
        <v>175</v>
      </c>
    </row>
    <row r="26" spans="2:6" ht="20.25" customHeight="1" thickBot="1" x14ac:dyDescent="0.3">
      <c r="B26" s="122" t="s">
        <v>25</v>
      </c>
      <c r="C26" s="69"/>
      <c r="D26" s="123">
        <v>854</v>
      </c>
      <c r="E26" s="123">
        <v>4415</v>
      </c>
      <c r="F26" s="124" t="s">
        <v>175</v>
      </c>
    </row>
    <row r="27" spans="2:6" ht="20.25" customHeight="1" x14ac:dyDescent="0.25">
      <c r="B27" s="134" t="s">
        <v>18</v>
      </c>
      <c r="C27" s="135"/>
      <c r="D27" s="108">
        <f>SUM(D20,D26,D25)</f>
        <v>10987.4</v>
      </c>
      <c r="E27" s="108">
        <f t="shared" ref="E27" si="0">SUM(E20,E26,E25)</f>
        <v>12822.5</v>
      </c>
      <c r="F27" s="136"/>
    </row>
    <row r="28" spans="2:6" x14ac:dyDescent="0.25"/>
    <row r="29" spans="2:6" x14ac:dyDescent="0.25"/>
    <row r="30" spans="2:6" x14ac:dyDescent="0.25"/>
    <row r="31" spans="2:6" x14ac:dyDescent="0.25"/>
    <row r="32" spans="2: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sheetData>
  <mergeCells count="2">
    <mergeCell ref="B8:B11"/>
    <mergeCell ref="B21:B25"/>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5" zeroHeight="1" x14ac:dyDescent="0.25"/>
  <cols>
    <col min="1" max="17" width="8.7109375" customWidth="1"/>
    <col min="18" max="20" width="8.7109375" hidden="1" customWidth="1"/>
    <col min="21" max="21" width="8.7109375" customWidth="1"/>
    <col min="22" max="16384" width="8.7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3:3" x14ac:dyDescent="0.25"/>
    <row r="18" spans="3:3" x14ac:dyDescent="0.25"/>
    <row r="19" spans="3:3" x14ac:dyDescent="0.25"/>
    <row r="20" spans="3:3" x14ac:dyDescent="0.25"/>
    <row r="21" spans="3:3" x14ac:dyDescent="0.25">
      <c r="C21" s="90"/>
    </row>
    <row r="22" spans="3:3" x14ac:dyDescent="0.25"/>
    <row r="23" spans="3:3" x14ac:dyDescent="0.25"/>
    <row r="24" spans="3:3" x14ac:dyDescent="0.25"/>
    <row r="25" spans="3:3" x14ac:dyDescent="0.25"/>
    <row r="26" spans="3:3" x14ac:dyDescent="0.25"/>
    <row r="27" spans="3:3" x14ac:dyDescent="0.25"/>
    <row r="28" spans="3:3" x14ac:dyDescent="0.25"/>
    <row r="29" spans="3:3" x14ac:dyDescent="0.25"/>
    <row r="30" spans="3:3" x14ac:dyDescent="0.25"/>
    <row r="31" spans="3:3" x14ac:dyDescent="0.25"/>
    <row r="32" spans="3:3" x14ac:dyDescent="0.25"/>
    <row r="33" x14ac:dyDescent="0.25"/>
    <row r="34" x14ac:dyDescent="0.25"/>
    <row r="35" x14ac:dyDescent="0.25"/>
    <row r="36" x14ac:dyDescent="0.25"/>
    <row r="37" x14ac:dyDescent="0.25"/>
    <row r="38" x14ac:dyDescent="0.25"/>
  </sheetData>
  <pageMargins left="0.7" right="0.7" top="0.75" bottom="0.75" header="0.3" footer="0.3"/>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043E-5B92-4AFB-BF78-97E9D7DA9457}">
  <sheetPr codeName="Sheet11">
    <tabColor theme="7"/>
  </sheetPr>
  <dimension ref="C1:L32"/>
  <sheetViews>
    <sheetView workbookViewId="0">
      <selection activeCell="I3" sqref="I3"/>
    </sheetView>
  </sheetViews>
  <sheetFormatPr defaultRowHeight="15" x14ac:dyDescent="0.25"/>
  <cols>
    <col min="5" max="5" width="12.7109375" bestFit="1" customWidth="1"/>
    <col min="8" max="8" width="14.85546875" bestFit="1" customWidth="1"/>
    <col min="9" max="9" width="15.85546875" customWidth="1"/>
    <col min="10" max="10" width="12" customWidth="1"/>
    <col min="12" max="12" width="14.42578125" customWidth="1"/>
  </cols>
  <sheetData>
    <row r="1" spans="3:11" x14ac:dyDescent="0.25">
      <c r="E1" s="224" t="s">
        <v>182</v>
      </c>
    </row>
    <row r="2" spans="3:11" x14ac:dyDescent="0.25">
      <c r="C2" t="s">
        <v>183</v>
      </c>
      <c r="E2" s="91">
        <v>86798194.129000008</v>
      </c>
    </row>
    <row r="3" spans="3:11" x14ac:dyDescent="0.25">
      <c r="C3" t="s">
        <v>184</v>
      </c>
      <c r="E3" s="91">
        <v>17219379</v>
      </c>
      <c r="H3" t="s">
        <v>25</v>
      </c>
      <c r="I3" s="90">
        <f>SUM(E2:E19)+SUM(E23:E24)+SUM(E30:E30)</f>
        <v>408470289.97900003</v>
      </c>
      <c r="J3" s="225">
        <f>I3/1000000</f>
        <v>408.47028997900003</v>
      </c>
    </row>
    <row r="4" spans="3:11" x14ac:dyDescent="0.25">
      <c r="C4" t="s">
        <v>185</v>
      </c>
      <c r="E4" s="91">
        <v>16843040</v>
      </c>
      <c r="H4" t="s">
        <v>186</v>
      </c>
      <c r="I4" s="90">
        <f>SUM(E28:E28,E31:E32,E25:E25)</f>
        <v>390581677.94999999</v>
      </c>
      <c r="J4" s="225">
        <f t="shared" ref="J4:J6" si="0">I4/1000000</f>
        <v>390.58167794999997</v>
      </c>
    </row>
    <row r="5" spans="3:11" x14ac:dyDescent="0.25">
      <c r="C5" t="s">
        <v>187</v>
      </c>
      <c r="E5" s="91">
        <v>19599960</v>
      </c>
      <c r="H5" t="s">
        <v>33</v>
      </c>
      <c r="I5" s="226">
        <f>SUM(E20:E22,E26:E27,E29:E29)</f>
        <v>533330540.90100002</v>
      </c>
      <c r="J5" s="225">
        <f t="shared" si="0"/>
        <v>533.33054090100006</v>
      </c>
    </row>
    <row r="6" spans="3:11" x14ac:dyDescent="0.25">
      <c r="C6" t="s">
        <v>188</v>
      </c>
      <c r="E6" s="91">
        <v>18995417</v>
      </c>
      <c r="H6" t="s">
        <v>93</v>
      </c>
      <c r="I6" s="90">
        <f>SUM(I3:I5)</f>
        <v>1332382508.8299999</v>
      </c>
      <c r="J6" s="225">
        <f t="shared" si="0"/>
        <v>1332.38250883</v>
      </c>
    </row>
    <row r="7" spans="3:11" x14ac:dyDescent="0.25">
      <c r="C7" t="s">
        <v>189</v>
      </c>
      <c r="E7" s="91">
        <v>14791591</v>
      </c>
    </row>
    <row r="8" spans="3:11" x14ac:dyDescent="0.25">
      <c r="C8" t="s">
        <v>190</v>
      </c>
      <c r="E8" s="91">
        <v>6967680</v>
      </c>
      <c r="I8" s="90">
        <f>SUM(E2:E32)</f>
        <v>1332382508.8299999</v>
      </c>
    </row>
    <row r="9" spans="3:11" x14ac:dyDescent="0.25">
      <c r="C9" t="s">
        <v>191</v>
      </c>
      <c r="E9" s="91">
        <v>7703760</v>
      </c>
    </row>
    <row r="10" spans="3:11" x14ac:dyDescent="0.25">
      <c r="C10" t="s">
        <v>192</v>
      </c>
      <c r="E10" s="91">
        <v>8741440</v>
      </c>
    </row>
    <row r="11" spans="3:11" x14ac:dyDescent="0.25">
      <c r="C11" t="s">
        <v>193</v>
      </c>
      <c r="E11" s="91">
        <v>4228800</v>
      </c>
    </row>
    <row r="12" spans="3:11" x14ac:dyDescent="0.25">
      <c r="C12" t="s">
        <v>194</v>
      </c>
      <c r="E12" s="91">
        <v>4249880</v>
      </c>
    </row>
    <row r="13" spans="3:11" x14ac:dyDescent="0.25">
      <c r="C13" t="s">
        <v>195</v>
      </c>
      <c r="E13" s="91">
        <v>1904000</v>
      </c>
      <c r="I13" s="91"/>
      <c r="K13" s="91"/>
    </row>
    <row r="14" spans="3:11" x14ac:dyDescent="0.25">
      <c r="C14" t="s">
        <v>196</v>
      </c>
      <c r="E14" s="91">
        <v>769134</v>
      </c>
      <c r="I14" s="91"/>
      <c r="K14" s="91"/>
    </row>
    <row r="15" spans="3:11" x14ac:dyDescent="0.25">
      <c r="C15" t="s">
        <v>197</v>
      </c>
      <c r="E15" s="91">
        <v>0</v>
      </c>
      <c r="I15" s="91"/>
      <c r="K15" s="91"/>
    </row>
    <row r="16" spans="3:11" x14ac:dyDescent="0.25">
      <c r="C16" t="s">
        <v>198</v>
      </c>
      <c r="E16" s="91">
        <v>8938240</v>
      </c>
      <c r="I16" s="91"/>
      <c r="K16" s="91"/>
    </row>
    <row r="17" spans="3:12" x14ac:dyDescent="0.25">
      <c r="C17" t="s">
        <v>199</v>
      </c>
      <c r="E17" s="91">
        <v>11007281</v>
      </c>
    </row>
    <row r="18" spans="3:12" x14ac:dyDescent="0.25">
      <c r="C18" t="s">
        <v>200</v>
      </c>
      <c r="E18" s="91">
        <v>9436462</v>
      </c>
    </row>
    <row r="19" spans="3:12" x14ac:dyDescent="0.25">
      <c r="C19" t="s">
        <v>201</v>
      </c>
      <c r="E19" s="91">
        <v>639671.82999999984</v>
      </c>
    </row>
    <row r="20" spans="3:12" x14ac:dyDescent="0.25">
      <c r="C20" t="s">
        <v>202</v>
      </c>
      <c r="E20" s="91">
        <v>15783629</v>
      </c>
    </row>
    <row r="21" spans="3:12" x14ac:dyDescent="0.25">
      <c r="C21" t="s">
        <v>203</v>
      </c>
      <c r="E21" s="91">
        <v>18624163</v>
      </c>
    </row>
    <row r="22" spans="3:12" x14ac:dyDescent="0.25">
      <c r="C22" t="s">
        <v>204</v>
      </c>
      <c r="E22" s="91">
        <v>28065120</v>
      </c>
      <c r="L22" s="90"/>
    </row>
    <row r="23" spans="3:12" x14ac:dyDescent="0.25">
      <c r="C23" t="s">
        <v>205</v>
      </c>
      <c r="E23" s="91">
        <v>12652030</v>
      </c>
      <c r="J23" s="90"/>
    </row>
    <row r="24" spans="3:12" x14ac:dyDescent="0.25">
      <c r="C24" t="s">
        <v>206</v>
      </c>
      <c r="E24" s="91">
        <v>7358979</v>
      </c>
      <c r="J24" s="90"/>
    </row>
    <row r="25" spans="3:12" x14ac:dyDescent="0.25">
      <c r="C25" t="s">
        <v>207</v>
      </c>
      <c r="E25" s="91">
        <v>18059313.949999999</v>
      </c>
    </row>
    <row r="26" spans="3:12" x14ac:dyDescent="0.25">
      <c r="C26" t="s">
        <v>208</v>
      </c>
      <c r="E26" s="91">
        <v>86505837</v>
      </c>
    </row>
    <row r="27" spans="3:12" x14ac:dyDescent="0.25">
      <c r="C27" t="s">
        <v>209</v>
      </c>
      <c r="E27" s="91">
        <v>184381560</v>
      </c>
    </row>
    <row r="28" spans="3:12" x14ac:dyDescent="0.25">
      <c r="C28" t="s">
        <v>210</v>
      </c>
      <c r="E28" s="91">
        <v>223766290</v>
      </c>
    </row>
    <row r="29" spans="3:12" x14ac:dyDescent="0.25">
      <c r="C29" t="s">
        <v>211</v>
      </c>
      <c r="E29" s="91">
        <v>199970231.90100002</v>
      </c>
    </row>
    <row r="30" spans="3:12" x14ac:dyDescent="0.25">
      <c r="C30" t="s">
        <v>212</v>
      </c>
      <c r="E30" s="91">
        <v>149625351.02000001</v>
      </c>
    </row>
    <row r="31" spans="3:12" x14ac:dyDescent="0.25">
      <c r="C31" t="s">
        <v>213</v>
      </c>
      <c r="E31" s="91">
        <v>148756074</v>
      </c>
    </row>
    <row r="32" spans="3:12" x14ac:dyDescent="0.25">
      <c r="C32" t="s">
        <v>214</v>
      </c>
      <c r="E32" s="9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B939-45D8-4EC4-A575-38FF2DEF7124}">
  <sheetPr codeName="Sheet12">
    <tabColor rgb="FFFFFF00"/>
  </sheetPr>
  <dimension ref="B1:H41"/>
  <sheetViews>
    <sheetView topLeftCell="A18" workbookViewId="0">
      <selection activeCell="C5" sqref="C5"/>
    </sheetView>
  </sheetViews>
  <sheetFormatPr defaultRowHeight="15" x14ac:dyDescent="0.25"/>
  <cols>
    <col min="2" max="2" width="29.140625" style="222" customWidth="1"/>
    <col min="3" max="4" width="17.5703125" style="222" customWidth="1"/>
    <col min="5" max="5" width="24.7109375" style="222" customWidth="1"/>
    <col min="6" max="6" width="16.5703125" style="222" customWidth="1"/>
    <col min="7" max="8" width="12.5703125" customWidth="1"/>
  </cols>
  <sheetData>
    <row r="1" spans="2:8" x14ac:dyDescent="0.25">
      <c r="C1" s="372">
        <v>2023</v>
      </c>
      <c r="D1" s="372"/>
      <c r="E1" s="372"/>
      <c r="F1" s="373">
        <v>2022</v>
      </c>
      <c r="G1" s="373"/>
      <c r="H1" s="373"/>
    </row>
    <row r="2" spans="2:8" ht="30" x14ac:dyDescent="0.25">
      <c r="B2" s="229"/>
      <c r="C2" s="230" t="s">
        <v>215</v>
      </c>
      <c r="D2" s="230" t="s">
        <v>216</v>
      </c>
      <c r="E2" s="227" t="s">
        <v>217</v>
      </c>
      <c r="F2" s="231" t="s">
        <v>218</v>
      </c>
      <c r="G2" s="231" t="s">
        <v>219</v>
      </c>
      <c r="H2" s="228" t="s">
        <v>217</v>
      </c>
    </row>
    <row r="3" spans="2:8" x14ac:dyDescent="0.25">
      <c r="B3" s="231" t="s">
        <v>361</v>
      </c>
      <c r="C3" s="232">
        <v>53886</v>
      </c>
      <c r="D3" s="233">
        <v>13463</v>
      </c>
      <c r="E3" s="234">
        <f>C3-D3</f>
        <v>40423</v>
      </c>
      <c r="F3" s="235">
        <v>28613</v>
      </c>
      <c r="G3" s="236">
        <v>8682</v>
      </c>
      <c r="H3" s="235">
        <f>F3-G3</f>
        <v>19931</v>
      </c>
    </row>
    <row r="4" spans="2:8" x14ac:dyDescent="0.25">
      <c r="B4" s="228" t="s">
        <v>362</v>
      </c>
      <c r="C4" s="237">
        <v>62125.250078649791</v>
      </c>
      <c r="D4" s="234">
        <v>27907</v>
      </c>
      <c r="E4" s="234">
        <f>C4-D4</f>
        <v>34218.250078649791</v>
      </c>
      <c r="F4" s="235">
        <v>7477</v>
      </c>
      <c r="G4" s="236">
        <v>5858</v>
      </c>
      <c r="H4" s="235">
        <f>F4-G4</f>
        <v>1619</v>
      </c>
    </row>
    <row r="5" spans="2:8" x14ac:dyDescent="0.25">
      <c r="B5" s="228" t="s">
        <v>363</v>
      </c>
      <c r="C5" s="237">
        <v>51079</v>
      </c>
      <c r="D5" s="234">
        <v>19747</v>
      </c>
      <c r="E5" s="234">
        <f>C5-D5</f>
        <v>31332</v>
      </c>
      <c r="F5" s="235">
        <v>30760</v>
      </c>
      <c r="G5" s="236">
        <v>17885</v>
      </c>
      <c r="H5" s="235">
        <f>F5-G5</f>
        <v>12875</v>
      </c>
    </row>
    <row r="7" spans="2:8" x14ac:dyDescent="0.25">
      <c r="B7" s="222" t="s">
        <v>220</v>
      </c>
    </row>
    <row r="8" spans="2:8" x14ac:dyDescent="0.25">
      <c r="B8" s="222" t="str">
        <f>B3</f>
        <v>Israel*</v>
      </c>
      <c r="C8" s="238">
        <v>418</v>
      </c>
      <c r="D8" s="238">
        <f>C8-E8</f>
        <v>275</v>
      </c>
      <c r="E8" s="238">
        <v>143</v>
      </c>
      <c r="F8" s="238">
        <v>408.47028997900003</v>
      </c>
      <c r="G8" s="238">
        <f>F8-H8</f>
        <v>234.22721217899999</v>
      </c>
      <c r="H8" s="90">
        <v>174.24307780000004</v>
      </c>
    </row>
    <row r="9" spans="2:8" x14ac:dyDescent="0.25">
      <c r="B9" s="222" t="str">
        <f>B4</f>
        <v>Western Europe**</v>
      </c>
      <c r="C9" s="238">
        <v>1050</v>
      </c>
      <c r="D9" s="238">
        <f>C9-E9</f>
        <v>675</v>
      </c>
      <c r="E9" s="238">
        <v>375</v>
      </c>
      <c r="F9" s="238">
        <v>390.58167794999997</v>
      </c>
      <c r="G9" s="238">
        <f>F9-H9</f>
        <v>185.58167794999997</v>
      </c>
      <c r="H9" s="90">
        <v>205</v>
      </c>
    </row>
    <row r="10" spans="2:8" x14ac:dyDescent="0.25">
      <c r="B10" s="222" t="str">
        <f>B5</f>
        <v>Central and Eastern Europe ("CEE")</v>
      </c>
      <c r="C10" s="238">
        <v>560</v>
      </c>
      <c r="D10" s="238">
        <f>C10-E10</f>
        <v>400</v>
      </c>
      <c r="E10" s="238">
        <v>160</v>
      </c>
      <c r="F10" s="238">
        <v>533.33054090100006</v>
      </c>
      <c r="G10" s="238">
        <f>F10-H10</f>
        <v>378.95072390100006</v>
      </c>
      <c r="H10" s="90">
        <v>154.379817</v>
      </c>
    </row>
    <row r="13" spans="2:8" x14ac:dyDescent="0.25">
      <c r="B13" s="374" t="s">
        <v>221</v>
      </c>
      <c r="C13" s="374"/>
      <c r="D13" s="374"/>
    </row>
    <row r="14" spans="2:8" x14ac:dyDescent="0.25">
      <c r="C14" s="230" t="s">
        <v>222</v>
      </c>
      <c r="D14" s="227" t="s">
        <v>223</v>
      </c>
      <c r="E14" s="239"/>
    </row>
    <row r="15" spans="2:8" x14ac:dyDescent="0.25">
      <c r="B15" s="240" t="s">
        <v>224</v>
      </c>
      <c r="C15" s="241"/>
      <c r="D15" s="241"/>
      <c r="F15"/>
    </row>
    <row r="16" spans="2:8" x14ac:dyDescent="0.25">
      <c r="B16" s="222" t="str">
        <f>B3</f>
        <v>Israel*</v>
      </c>
      <c r="C16" s="239">
        <f>C8/F8-1</f>
        <v>2.333024030092834E-2</v>
      </c>
      <c r="D16" s="239">
        <f>E8/H8-1</f>
        <v>-0.17930742612261197</v>
      </c>
      <c r="E16" s="239"/>
    </row>
    <row r="17" spans="2:4" x14ac:dyDescent="0.25">
      <c r="B17" s="222" t="str">
        <f>B4</f>
        <v>Western Europe**</v>
      </c>
      <c r="C17" s="239">
        <f>C9/F9-1</f>
        <v>1.6882981442217444</v>
      </c>
      <c r="D17" s="239">
        <f>E9/H9-1</f>
        <v>0.8292682926829269</v>
      </c>
    </row>
    <row r="18" spans="2:4" x14ac:dyDescent="0.25">
      <c r="B18" s="222" t="str">
        <f>B5</f>
        <v>Central and Eastern Europe ("CEE")</v>
      </c>
      <c r="C18" s="239">
        <f>C10/F10-1</f>
        <v>5.0005497629940665E-2</v>
      </c>
      <c r="D18" s="239">
        <f>E10/H10-1</f>
        <v>3.6404907773663231E-2</v>
      </c>
    </row>
    <row r="19" spans="2:4" x14ac:dyDescent="0.25">
      <c r="B19" s="240" t="s">
        <v>225</v>
      </c>
      <c r="C19" s="241"/>
      <c r="D19" s="241"/>
    </row>
    <row r="20" spans="2:4" x14ac:dyDescent="0.25">
      <c r="B20" s="222" t="str">
        <f>B16</f>
        <v>Israel*</v>
      </c>
      <c r="C20" s="239">
        <v>0.16058771485243284</v>
      </c>
      <c r="D20" s="239">
        <v>-3.2405872718213047E-2</v>
      </c>
    </row>
    <row r="21" spans="2:4" x14ac:dyDescent="0.25">
      <c r="B21" s="222" t="str">
        <f>B17</f>
        <v>Western Europe**</v>
      </c>
      <c r="C21" s="239">
        <v>1.0841679230843431</v>
      </c>
      <c r="D21" s="239">
        <v>-7.7428973872651241E-2</v>
      </c>
    </row>
    <row r="22" spans="2:4" x14ac:dyDescent="0.25">
      <c r="B22" s="222" t="str">
        <f>B18</f>
        <v>Central and Eastern Europe ("CEE")</v>
      </c>
      <c r="C22" s="239">
        <v>0.17139374083315873</v>
      </c>
      <c r="D22" s="239">
        <v>0.17913832199546476</v>
      </c>
    </row>
    <row r="23" spans="2:4" x14ac:dyDescent="0.25">
      <c r="B23" s="240" t="s">
        <v>226</v>
      </c>
      <c r="C23" s="241"/>
      <c r="D23" s="241"/>
    </row>
    <row r="24" spans="2:4" x14ac:dyDescent="0.25">
      <c r="B24" s="222" t="str">
        <f>B20</f>
        <v>Israel*</v>
      </c>
      <c r="C24" s="239">
        <f>C3/F3-1</f>
        <v>0.88326984237933814</v>
      </c>
      <c r="D24" s="239">
        <f>E3/H3-1</f>
        <v>1.0281471075209474</v>
      </c>
    </row>
    <row r="25" spans="2:4" x14ac:dyDescent="0.25">
      <c r="B25" s="222" t="str">
        <f>B21</f>
        <v>Western Europe**</v>
      </c>
      <c r="C25" s="239">
        <f>C4/F4-1</f>
        <v>7.3088471417212499</v>
      </c>
      <c r="D25" s="239">
        <f>E4/H4-1</f>
        <v>20.135423149258674</v>
      </c>
    </row>
    <row r="26" spans="2:4" x14ac:dyDescent="0.25">
      <c r="B26" s="222" t="str">
        <f>B22</f>
        <v>Central and Eastern Europe ("CEE")</v>
      </c>
      <c r="C26" s="239">
        <f>C5/F5-1</f>
        <v>0.66056566970091035</v>
      </c>
      <c r="D26" s="239">
        <f>E5/H5-1</f>
        <v>1.4335533980582524</v>
      </c>
    </row>
    <row r="27" spans="2:4" x14ac:dyDescent="0.25">
      <c r="C27" s="239"/>
      <c r="D27" s="239"/>
    </row>
    <row r="28" spans="2:4" x14ac:dyDescent="0.25">
      <c r="B28" s="374" t="s">
        <v>221</v>
      </c>
      <c r="C28" s="374"/>
      <c r="D28" s="374"/>
    </row>
    <row r="29" spans="2:4" x14ac:dyDescent="0.25">
      <c r="C29" s="242" t="str">
        <f>C14</f>
        <v xml:space="preserve">6 months </v>
      </c>
      <c r="D29" s="242" t="str">
        <f>D14</f>
        <v xml:space="preserve">Q2 </v>
      </c>
    </row>
    <row r="30" spans="2:4" x14ac:dyDescent="0.25">
      <c r="B30" s="240" t="str">
        <f>B16</f>
        <v>Israel*</v>
      </c>
      <c r="C30" s="241"/>
      <c r="D30" s="241"/>
    </row>
    <row r="31" spans="2:4" x14ac:dyDescent="0.25">
      <c r="B31" s="222" t="str">
        <f>B15</f>
        <v>Change production</v>
      </c>
      <c r="C31" s="239">
        <f>C16</f>
        <v>2.333024030092834E-2</v>
      </c>
      <c r="D31" s="239">
        <f>D16</f>
        <v>-0.17930742612261197</v>
      </c>
    </row>
    <row r="32" spans="2:4" x14ac:dyDescent="0.25">
      <c r="B32" s="222" t="str">
        <f>B19</f>
        <v>Change revenues</v>
      </c>
      <c r="C32" s="239">
        <f>C20</f>
        <v>0.16058771485243284</v>
      </c>
      <c r="D32" s="239">
        <f>D20</f>
        <v>-3.2405872718213047E-2</v>
      </c>
    </row>
    <row r="33" spans="2:4" x14ac:dyDescent="0.25">
      <c r="B33" s="222" t="str">
        <f>B23</f>
        <v>Change EBITDA</v>
      </c>
      <c r="C33" s="239">
        <f>C24</f>
        <v>0.88326984237933814</v>
      </c>
      <c r="D33" s="239">
        <f>D24</f>
        <v>1.0281471075209474</v>
      </c>
    </row>
    <row r="34" spans="2:4" x14ac:dyDescent="0.25">
      <c r="B34" s="243" t="str">
        <f>B17</f>
        <v>Western Europe**</v>
      </c>
      <c r="C34" s="244"/>
      <c r="D34" s="244"/>
    </row>
    <row r="35" spans="2:4" x14ac:dyDescent="0.25">
      <c r="B35" s="222" t="str">
        <f>B31</f>
        <v>Change production</v>
      </c>
      <c r="C35" s="239">
        <f>C17</f>
        <v>1.6882981442217444</v>
      </c>
      <c r="D35" s="239">
        <f>D17</f>
        <v>0.8292682926829269</v>
      </c>
    </row>
    <row r="36" spans="2:4" x14ac:dyDescent="0.25">
      <c r="B36" s="222" t="str">
        <f>B32</f>
        <v>Change revenues</v>
      </c>
      <c r="C36" s="239">
        <f>C21</f>
        <v>1.0841679230843431</v>
      </c>
      <c r="D36" s="239">
        <f>D21</f>
        <v>-7.7428973872651241E-2</v>
      </c>
    </row>
    <row r="37" spans="2:4" x14ac:dyDescent="0.25">
      <c r="B37" s="222" t="str">
        <f>B33</f>
        <v>Change EBITDA</v>
      </c>
      <c r="C37" s="239">
        <f>C25</f>
        <v>7.3088471417212499</v>
      </c>
      <c r="D37" s="239">
        <f>D25</f>
        <v>20.135423149258674</v>
      </c>
    </row>
    <row r="38" spans="2:4" x14ac:dyDescent="0.25">
      <c r="B38" s="245" t="str">
        <f>B26</f>
        <v>Central and Eastern Europe ("CEE")</v>
      </c>
      <c r="C38" s="246"/>
      <c r="D38" s="246"/>
    </row>
    <row r="39" spans="2:4" x14ac:dyDescent="0.25">
      <c r="B39" s="222" t="str">
        <f>B35</f>
        <v>Change production</v>
      </c>
      <c r="C39" s="239">
        <f>C18</f>
        <v>5.0005497629940665E-2</v>
      </c>
      <c r="D39" s="239">
        <f>D18</f>
        <v>3.6404907773663231E-2</v>
      </c>
    </row>
    <row r="40" spans="2:4" x14ac:dyDescent="0.25">
      <c r="B40" s="222" t="str">
        <f>B36</f>
        <v>Change revenues</v>
      </c>
      <c r="C40" s="239">
        <f>C22</f>
        <v>0.17139374083315873</v>
      </c>
      <c r="D40" s="239">
        <f>D22</f>
        <v>0.17913832199546476</v>
      </c>
    </row>
    <row r="41" spans="2:4" x14ac:dyDescent="0.25">
      <c r="B41" s="222" t="str">
        <f>B37</f>
        <v>Change EBITDA</v>
      </c>
      <c r="C41" s="239">
        <f>C26</f>
        <v>0.66056566970091035</v>
      </c>
      <c r="D41" s="239">
        <f>D26</f>
        <v>1.4335533980582524</v>
      </c>
    </row>
  </sheetData>
  <mergeCells count="4">
    <mergeCell ref="C1:E1"/>
    <mergeCell ref="F1:H1"/>
    <mergeCell ref="B13:D13"/>
    <mergeCell ref="B28:D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C896-2801-4FBE-BCCF-763D475C55DF}">
  <sheetPr codeName="Sheet13">
    <tabColor rgb="FFFFFF00"/>
  </sheetPr>
  <dimension ref="B1:N19"/>
  <sheetViews>
    <sheetView workbookViewId="0">
      <selection activeCell="C5" sqref="C5"/>
    </sheetView>
  </sheetViews>
  <sheetFormatPr defaultRowHeight="15" x14ac:dyDescent="0.25"/>
  <cols>
    <col min="2" max="2" width="37.28515625" bestFit="1" customWidth="1"/>
    <col min="3" max="10" width="10.140625" customWidth="1"/>
    <col min="11" max="11" width="9.5703125" customWidth="1"/>
    <col min="13" max="13" width="12.5703125" customWidth="1"/>
    <col min="14" max="14" width="9.7109375" customWidth="1"/>
  </cols>
  <sheetData>
    <row r="1" spans="2:14" x14ac:dyDescent="0.25">
      <c r="C1" s="375" t="s">
        <v>180</v>
      </c>
      <c r="D1" s="375"/>
      <c r="E1" s="375"/>
      <c r="F1" s="375"/>
      <c r="G1" s="375" t="s">
        <v>179</v>
      </c>
      <c r="H1" s="375"/>
      <c r="I1" s="375"/>
      <c r="J1" s="375"/>
      <c r="K1" s="375" t="s">
        <v>227</v>
      </c>
      <c r="L1" s="375"/>
      <c r="M1" s="375"/>
      <c r="N1" s="375"/>
    </row>
    <row r="2" spans="2:14" ht="90" x14ac:dyDescent="0.25">
      <c r="C2" s="247" t="s">
        <v>364</v>
      </c>
      <c r="D2" s="247" t="s">
        <v>365</v>
      </c>
      <c r="E2" s="247" t="s">
        <v>228</v>
      </c>
      <c r="F2" s="247" t="s">
        <v>24</v>
      </c>
      <c r="G2" s="247" t="str">
        <f t="shared" ref="G2:N2" si="0">C2</f>
        <v>Reported Revenue*</v>
      </c>
      <c r="H2" s="247" t="str">
        <f t="shared" si="0"/>
        <v xml:space="preserve"> Segment Adjusted 
EBITDA</v>
      </c>
      <c r="I2" s="247" t="str">
        <f t="shared" si="0"/>
        <v xml:space="preserve">Debt balance </v>
      </c>
      <c r="J2" s="248" t="str">
        <f t="shared" si="0"/>
        <v>Ownership %</v>
      </c>
      <c r="K2" s="249" t="str">
        <f t="shared" si="0"/>
        <v>Reported Revenue*</v>
      </c>
      <c r="L2" s="249" t="str">
        <f t="shared" si="0"/>
        <v xml:space="preserve"> Segment Adjusted 
EBITDA</v>
      </c>
      <c r="M2" s="249" t="str">
        <f t="shared" si="0"/>
        <v xml:space="preserve">Debt balance </v>
      </c>
      <c r="N2" s="249" t="str">
        <f t="shared" si="0"/>
        <v>Ownership %</v>
      </c>
    </row>
    <row r="3" spans="2:14" x14ac:dyDescent="0.25">
      <c r="B3" t="s">
        <v>366</v>
      </c>
      <c r="C3" s="250">
        <v>8263</v>
      </c>
      <c r="D3" s="250">
        <v>0</v>
      </c>
      <c r="E3" s="250">
        <v>154800</v>
      </c>
      <c r="F3" s="251">
        <v>0.41</v>
      </c>
      <c r="G3" s="250">
        <v>7406.3640520971794</v>
      </c>
      <c r="H3" s="250">
        <v>0</v>
      </c>
      <c r="I3" s="250">
        <v>163609</v>
      </c>
      <c r="J3" s="252">
        <v>0.41</v>
      </c>
      <c r="K3" s="253">
        <f t="shared" ref="K3:K18" si="1">C3/G3-1</f>
        <v>0.11566214432306454</v>
      </c>
      <c r="L3" s="253"/>
      <c r="M3" s="253">
        <f t="shared" ref="M3:N6" si="2">E3/I3-1</f>
        <v>-5.3841781320098536E-2</v>
      </c>
      <c r="N3" s="254">
        <f t="shared" si="2"/>
        <v>0</v>
      </c>
    </row>
    <row r="4" spans="2:14" x14ac:dyDescent="0.25">
      <c r="B4" t="s">
        <v>26</v>
      </c>
      <c r="C4" s="236">
        <v>5679</v>
      </c>
      <c r="D4" s="236">
        <v>0</v>
      </c>
      <c r="E4" s="236">
        <v>166874</v>
      </c>
      <c r="F4" s="253">
        <v>0.9</v>
      </c>
      <c r="G4" s="236">
        <v>3694.6228859914586</v>
      </c>
      <c r="H4" s="236">
        <v>0</v>
      </c>
      <c r="I4" s="236">
        <v>192091.20819870025</v>
      </c>
      <c r="J4" s="255">
        <v>0.9</v>
      </c>
      <c r="K4" s="253">
        <f t="shared" si="1"/>
        <v>0.5370986905138575</v>
      </c>
      <c r="L4" s="253"/>
      <c r="M4" s="253">
        <f t="shared" si="2"/>
        <v>-0.13127726372888149</v>
      </c>
      <c r="N4" s="254">
        <f t="shared" si="2"/>
        <v>0</v>
      </c>
    </row>
    <row r="5" spans="2:14" x14ac:dyDescent="0.25">
      <c r="B5" t="s">
        <v>27</v>
      </c>
      <c r="C5" s="236">
        <v>1224</v>
      </c>
      <c r="D5" s="236">
        <v>0</v>
      </c>
      <c r="E5" s="236">
        <v>33166</v>
      </c>
      <c r="F5" s="253">
        <v>0.81</v>
      </c>
      <c r="G5" s="236">
        <v>1463.5786016237303</v>
      </c>
      <c r="H5" s="236">
        <v>0</v>
      </c>
      <c r="I5" s="236">
        <v>54785.149838570003</v>
      </c>
      <c r="J5" s="255">
        <v>0.75</v>
      </c>
      <c r="K5" s="253">
        <f t="shared" si="1"/>
        <v>-0.16369370347307333</v>
      </c>
      <c r="L5" s="253"/>
      <c r="M5" s="253">
        <f t="shared" si="2"/>
        <v>-0.39461697015109054</v>
      </c>
      <c r="N5" s="254">
        <f t="shared" si="2"/>
        <v>8.0000000000000071E-2</v>
      </c>
    </row>
    <row r="6" spans="2:14" x14ac:dyDescent="0.25">
      <c r="B6" t="s">
        <v>367</v>
      </c>
      <c r="C6" s="236">
        <v>1485</v>
      </c>
      <c r="D6" s="236">
        <v>0</v>
      </c>
      <c r="E6" s="236">
        <v>109909</v>
      </c>
      <c r="F6" s="253">
        <v>0.98</v>
      </c>
      <c r="G6" s="236">
        <v>1273.2363372508453</v>
      </c>
      <c r="H6" s="236">
        <v>0</v>
      </c>
      <c r="I6" s="236">
        <v>118407.52544334708</v>
      </c>
      <c r="J6" s="255">
        <v>0.98</v>
      </c>
      <c r="K6" s="253">
        <f t="shared" si="1"/>
        <v>0.16631921078092371</v>
      </c>
      <c r="L6" s="253"/>
      <c r="M6" s="253">
        <f t="shared" si="2"/>
        <v>-7.1773524626298046E-2</v>
      </c>
      <c r="N6" s="254">
        <f t="shared" si="2"/>
        <v>0</v>
      </c>
    </row>
    <row r="7" spans="2:14" x14ac:dyDescent="0.25">
      <c r="B7" t="s">
        <v>368</v>
      </c>
      <c r="C7" s="236">
        <v>17192</v>
      </c>
      <c r="D7" s="236">
        <v>23436</v>
      </c>
      <c r="E7" s="236">
        <v>472313</v>
      </c>
      <c r="F7" s="253">
        <v>0</v>
      </c>
      <c r="G7" s="236">
        <v>13837.801876963214</v>
      </c>
      <c r="H7" s="236">
        <v>13463</v>
      </c>
      <c r="I7" s="236">
        <v>528892.88348061731</v>
      </c>
      <c r="J7" s="255">
        <v>0</v>
      </c>
      <c r="K7" s="253">
        <f t="shared" si="1"/>
        <v>0.242393853652491</v>
      </c>
      <c r="L7" s="253">
        <f>D7/H7-1</f>
        <v>0.7407710020054965</v>
      </c>
      <c r="M7" s="253">
        <f>E7/I7-1</f>
        <v>-0.10697796330377518</v>
      </c>
      <c r="N7" s="254"/>
    </row>
    <row r="8" spans="2:14" x14ac:dyDescent="0.25">
      <c r="B8" t="s">
        <v>28</v>
      </c>
      <c r="C8" s="236">
        <v>12692</v>
      </c>
      <c r="D8" s="236">
        <v>0</v>
      </c>
      <c r="E8" s="236">
        <v>162200</v>
      </c>
      <c r="F8" s="253">
        <v>0.72</v>
      </c>
      <c r="G8" s="236">
        <v>20897.391597963935</v>
      </c>
      <c r="H8" s="236">
        <v>0</v>
      </c>
      <c r="I8" s="236">
        <v>170477</v>
      </c>
      <c r="J8" s="255">
        <v>0.72</v>
      </c>
      <c r="K8" s="253">
        <f t="shared" si="1"/>
        <v>-0.39265147324718741</v>
      </c>
      <c r="L8" s="253"/>
      <c r="M8" s="253">
        <f t="shared" ref="M8:N11" si="3">E8/I8-1</f>
        <v>-4.8552004082662137E-2</v>
      </c>
      <c r="N8" s="254">
        <f t="shared" si="3"/>
        <v>0</v>
      </c>
    </row>
    <row r="9" spans="2:14" x14ac:dyDescent="0.25">
      <c r="B9" t="s">
        <v>29</v>
      </c>
      <c r="C9" s="236">
        <v>4978</v>
      </c>
      <c r="D9" s="236">
        <v>0</v>
      </c>
      <c r="E9" s="236">
        <v>175684</v>
      </c>
      <c r="F9" s="253">
        <v>0.55000000000000004</v>
      </c>
      <c r="G9" s="236">
        <v>3304.0821473235856</v>
      </c>
      <c r="H9" s="236">
        <v>0</v>
      </c>
      <c r="I9" s="236">
        <v>159057.35656314556</v>
      </c>
      <c r="J9" s="255">
        <v>0.55000000000000004</v>
      </c>
      <c r="K9" s="253">
        <f t="shared" si="1"/>
        <v>0.50662113653328578</v>
      </c>
      <c r="L9" s="253"/>
      <c r="M9" s="253">
        <f t="shared" si="3"/>
        <v>0.10453237622023281</v>
      </c>
      <c r="N9" s="254">
        <f t="shared" si="3"/>
        <v>0</v>
      </c>
    </row>
    <row r="10" spans="2:14" x14ac:dyDescent="0.25">
      <c r="B10" t="s">
        <v>30</v>
      </c>
      <c r="C10" s="236">
        <v>1972</v>
      </c>
      <c r="D10" s="236">
        <v>0</v>
      </c>
      <c r="E10" s="236">
        <v>78476</v>
      </c>
      <c r="F10" s="253">
        <v>0.69</v>
      </c>
      <c r="G10" s="236">
        <v>6877.9246471704701</v>
      </c>
      <c r="H10" s="236">
        <v>0</v>
      </c>
      <c r="I10" s="236">
        <v>82982.776645841906</v>
      </c>
      <c r="J10" s="255">
        <v>0.69</v>
      </c>
      <c r="K10" s="253">
        <f t="shared" si="1"/>
        <v>-0.71328560559161303</v>
      </c>
      <c r="L10" s="253"/>
      <c r="M10" s="253">
        <f t="shared" si="3"/>
        <v>-5.4309783644335696E-2</v>
      </c>
      <c r="N10" s="254">
        <f t="shared" si="3"/>
        <v>0</v>
      </c>
    </row>
    <row r="11" spans="2:14" x14ac:dyDescent="0.25">
      <c r="B11" t="s">
        <v>31</v>
      </c>
      <c r="C11" s="236">
        <v>369</v>
      </c>
      <c r="D11" s="236">
        <v>0</v>
      </c>
      <c r="E11" s="236">
        <v>11986</v>
      </c>
      <c r="F11" s="253">
        <v>0.501</v>
      </c>
      <c r="G11" s="236">
        <v>708.80021082105384</v>
      </c>
      <c r="H11" s="236">
        <v>0</v>
      </c>
      <c r="I11" s="236">
        <v>11294</v>
      </c>
      <c r="J11" s="255">
        <v>0.501</v>
      </c>
      <c r="K11" s="253">
        <f t="shared" si="1"/>
        <v>-0.47940196071251029</v>
      </c>
      <c r="L11" s="253"/>
      <c r="M11" s="253">
        <f t="shared" si="3"/>
        <v>6.1271471577828862E-2</v>
      </c>
      <c r="N11" s="254">
        <f t="shared" si="3"/>
        <v>0</v>
      </c>
    </row>
    <row r="12" spans="2:14" x14ac:dyDescent="0.25">
      <c r="B12" t="s">
        <v>369</v>
      </c>
      <c r="C12" s="236">
        <v>20010</v>
      </c>
      <c r="D12" s="236">
        <v>15478.250078649791</v>
      </c>
      <c r="E12" s="236">
        <v>428346</v>
      </c>
      <c r="F12" s="253">
        <v>0</v>
      </c>
      <c r="G12" s="236">
        <v>31788.198603279041</v>
      </c>
      <c r="H12" s="236">
        <v>27907</v>
      </c>
      <c r="I12" s="236">
        <v>423811.13320898742</v>
      </c>
      <c r="J12" s="255">
        <v>0</v>
      </c>
      <c r="K12" s="253">
        <f t="shared" si="1"/>
        <v>-0.37052110911576119</v>
      </c>
      <c r="L12" s="253">
        <f>D12/H12-1</f>
        <v>-0.44536316771240936</v>
      </c>
      <c r="M12" s="253">
        <f>E12/I12-1</f>
        <v>1.0700206850810634E-2</v>
      </c>
      <c r="N12" s="254"/>
    </row>
    <row r="13" spans="2:14" x14ac:dyDescent="0.25">
      <c r="B13" t="s">
        <v>32</v>
      </c>
      <c r="C13" s="236">
        <v>5966</v>
      </c>
      <c r="D13" s="236">
        <v>0</v>
      </c>
      <c r="E13" s="236">
        <v>100401</v>
      </c>
      <c r="F13" s="253">
        <v>0.6</v>
      </c>
      <c r="G13" s="236">
        <v>8039.2430876890276</v>
      </c>
      <c r="H13" s="236">
        <v>0</v>
      </c>
      <c r="I13" s="236">
        <v>106286</v>
      </c>
      <c r="J13" s="255">
        <v>0.6</v>
      </c>
      <c r="K13" s="253">
        <f t="shared" si="1"/>
        <v>-0.25789033433556807</v>
      </c>
      <c r="L13" s="253"/>
      <c r="M13" s="253">
        <f t="shared" ref="M13:N16" si="4">E13/I13-1</f>
        <v>-5.5369474813239727E-2</v>
      </c>
      <c r="N13" s="254">
        <f t="shared" si="4"/>
        <v>0</v>
      </c>
    </row>
    <row r="14" spans="2:14" x14ac:dyDescent="0.25">
      <c r="B14" t="s">
        <v>34</v>
      </c>
      <c r="C14" s="236">
        <v>4744</v>
      </c>
      <c r="D14" s="236">
        <v>0</v>
      </c>
      <c r="E14" s="236">
        <v>95605</v>
      </c>
      <c r="F14" s="253">
        <v>0.501</v>
      </c>
      <c r="G14" s="236">
        <v>9837.4721616372644</v>
      </c>
      <c r="H14" s="236">
        <v>0</v>
      </c>
      <c r="I14" s="236">
        <v>112300</v>
      </c>
      <c r="J14" s="255">
        <v>0.501</v>
      </c>
      <c r="K14" s="253">
        <f t="shared" si="1"/>
        <v>-0.51776229482000902</v>
      </c>
      <c r="L14" s="253"/>
      <c r="M14" s="253">
        <f t="shared" si="4"/>
        <v>-0.1486642920747997</v>
      </c>
      <c r="N14" s="254">
        <f t="shared" si="4"/>
        <v>0</v>
      </c>
    </row>
    <row r="15" spans="2:14" x14ac:dyDescent="0.25">
      <c r="B15" t="s">
        <v>35</v>
      </c>
      <c r="C15" s="236">
        <v>3258</v>
      </c>
      <c r="D15" s="236">
        <v>0</v>
      </c>
      <c r="E15" s="236">
        <v>40431</v>
      </c>
      <c r="F15" s="253">
        <v>0.501</v>
      </c>
      <c r="G15" s="236">
        <v>4274.5066196538164</v>
      </c>
      <c r="H15" s="236">
        <v>0</v>
      </c>
      <c r="I15" s="236">
        <v>43632</v>
      </c>
      <c r="J15" s="255">
        <v>0.501</v>
      </c>
      <c r="K15" s="253">
        <f t="shared" si="1"/>
        <v>-0.23780677165874675</v>
      </c>
      <c r="L15" s="253"/>
      <c r="M15" s="253">
        <f t="shared" si="4"/>
        <v>-7.3363586358635824E-2</v>
      </c>
      <c r="N15" s="254">
        <f t="shared" si="4"/>
        <v>0</v>
      </c>
    </row>
    <row r="16" spans="2:14" x14ac:dyDescent="0.25">
      <c r="B16" t="s">
        <v>36</v>
      </c>
      <c r="C16" s="236">
        <v>2508</v>
      </c>
      <c r="D16" s="236">
        <v>0</v>
      </c>
      <c r="E16" s="236">
        <v>32435</v>
      </c>
      <c r="F16" s="253">
        <v>0.501</v>
      </c>
      <c r="G16" s="236">
        <v>1084.093443112894</v>
      </c>
      <c r="H16" s="236">
        <v>0</v>
      </c>
      <c r="I16" s="236">
        <v>36140</v>
      </c>
      <c r="J16" s="255">
        <v>0.501</v>
      </c>
      <c r="K16" s="253">
        <f t="shared" si="1"/>
        <v>1.3134537118852632</v>
      </c>
      <c r="L16" s="253"/>
      <c r="M16" s="253">
        <f t="shared" si="4"/>
        <v>-0.10251798561151082</v>
      </c>
      <c r="N16" s="254">
        <f t="shared" si="4"/>
        <v>0</v>
      </c>
    </row>
    <row r="17" spans="2:14" x14ac:dyDescent="0.25">
      <c r="B17" t="s">
        <v>370</v>
      </c>
      <c r="C17" s="236">
        <v>17160</v>
      </c>
      <c r="D17" s="236">
        <v>13641</v>
      </c>
      <c r="E17" s="236">
        <v>268872</v>
      </c>
      <c r="F17" s="253">
        <v>0</v>
      </c>
      <c r="G17" s="236">
        <v>23235.315312093004</v>
      </c>
      <c r="H17" s="236">
        <v>19747</v>
      </c>
      <c r="I17" s="236">
        <v>298358</v>
      </c>
      <c r="J17" s="255">
        <v>0</v>
      </c>
      <c r="K17" s="253">
        <f t="shared" si="1"/>
        <v>-0.26146902809324291</v>
      </c>
      <c r="L17" s="253">
        <f>D17/H17-1</f>
        <v>-0.30921152580138755</v>
      </c>
      <c r="M17" s="253">
        <f>E17/I17-1</f>
        <v>-9.8827582970793526E-2</v>
      </c>
      <c r="N17" s="254"/>
    </row>
    <row r="18" spans="2:14" x14ac:dyDescent="0.25">
      <c r="B18" t="s">
        <v>16</v>
      </c>
      <c r="C18" s="236">
        <v>56327</v>
      </c>
      <c r="D18" s="236">
        <v>54532</v>
      </c>
      <c r="E18" s="236">
        <v>1169531</v>
      </c>
      <c r="F18" s="253">
        <v>0</v>
      </c>
      <c r="G18" s="236">
        <v>68861.315792335256</v>
      </c>
      <c r="H18" s="236">
        <v>61117</v>
      </c>
      <c r="I18" s="236">
        <v>1251062.0166896046</v>
      </c>
      <c r="J18" s="255">
        <v>0</v>
      </c>
      <c r="K18" s="253">
        <f t="shared" si="1"/>
        <v>-0.18202260076085286</v>
      </c>
      <c r="L18" s="253">
        <f>D18/H18-1</f>
        <v>-0.1077441628352177</v>
      </c>
      <c r="M18" s="253">
        <f>E18/I18-1</f>
        <v>-6.5169444521496422E-2</v>
      </c>
      <c r="N18" s="254"/>
    </row>
    <row r="19" spans="2:14" x14ac:dyDescent="0.25">
      <c r="N19" s="256"/>
    </row>
  </sheetData>
  <mergeCells count="3">
    <mergeCell ref="C1:F1"/>
    <mergeCell ref="G1:J1"/>
    <mergeCell ref="K1:N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5" ma:contentTypeDescription="Create a new document." ma:contentTypeScope="" ma:versionID="cf43ee86bea0b760897725bb4aff5d44">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8c791999e6d24afbbe44f9d384c819e9"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D5880976-6C12-4E7F-87E3-47DEBD74B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6309CE-DADF-4828-BD10-15E085AD3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Legal Disclaimer</vt:lpstr>
      <vt:lpstr>Portfolio Snapshot</vt:lpstr>
      <vt:lpstr>Mature Portfolio Financials</vt:lpstr>
      <vt:lpstr>Mature Project additional data</vt:lpstr>
      <vt:lpstr>Adv. Dev and Dev. Portfolio</vt:lpstr>
      <vt:lpstr>US IC Status</vt:lpstr>
      <vt:lpstr>Production 22 </vt:lpstr>
      <vt:lpstr>EBITDA data</vt:lpstr>
      <vt:lpstr>Projet data</vt:lpstr>
      <vt:lpstr>Tariff</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Yonah Weisz</cp:lastModifiedBy>
  <cp:revision/>
  <dcterms:created xsi:type="dcterms:W3CDTF">2023-02-13T11:51:03Z</dcterms:created>
  <dcterms:modified xsi:type="dcterms:W3CDTF">2024-08-06T19:54:12Z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